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threadedComments/threadedComment3.xml" ContentType="application/vnd.ms-excel.threaded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6.xml" ContentType="application/vnd.openxmlformats-officedocument.spreadsheetml.comments+xml"/>
  <Override PartName="/xl/drawings/drawing8.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 Id="rId4" Type="http://purl.oclc.org/ooxml/officeDocument/relationships/customProperties" Target="docProps/custom.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3801"/>
  <workbookPr dateCompatibility="0" codeName="ThisWorkbook" defaultThemeVersion="166925"/>
  <mc:AlternateContent xmlns:mc="http://schemas.openxmlformats.org/markup-compatibility/2006">
    <mc:Choice Requires="x15">
      <x15ac:absPath xmlns:x15ac="http://schemas.microsoft.com/office/spreadsheetml/2010/11/ac" url="https://people.ey.com/personal/leonard_catalon_pg_ey_com/Documents/Desktop/EITI 2020/"/>
    </mc:Choice>
  </mc:AlternateContent>
  <xr:revisionPtr revIDLastSave="0" documentId="10_ncr:8_{191A1D97-275B-43BD-848C-C04D3D8784DC}" xr6:coauthVersionLast="46" xr6:coauthVersionMax="46" xr10:uidLastSave="{00000000-0000-0000-0000-000000000000}"/>
  <bookViews>
    <workbookView xWindow="-108" yWindow="-108" windowWidth="23256" windowHeight="12576" tabRatio="921" firstSheet="2" activeTab="7" xr2:uid="{74BF3EC9-BCBB-A447-9F1D-108DC027EA20}"/>
  </bookViews>
  <sheets>
    <sheet name="Introduction" sheetId="32" r:id="rId1"/>
    <sheet name="About" sheetId="30" r:id="rId2"/>
    <sheet name="#2.1" sheetId="1" r:id="rId3"/>
    <sheet name="#2.2" sheetId="2" r:id="rId4"/>
    <sheet name="#2.3" sheetId="3" r:id="rId5"/>
    <sheet name="#2.4" sheetId="4" r:id="rId6"/>
    <sheet name="#2.5" sheetId="5" r:id="rId7"/>
    <sheet name="#2.6" sheetId="6" r:id="rId8"/>
    <sheet name="#3.1" sheetId="7" r:id="rId9"/>
    <sheet name="#3.2" sheetId="8" r:id="rId10"/>
    <sheet name="#3.3" sheetId="9" r:id="rId11"/>
    <sheet name="#4.1" sheetId="10" r:id="rId12"/>
    <sheet name="#4.1 - Reporting entities" sheetId="26" r:id="rId13"/>
    <sheet name="#4.1 - Government" sheetId="27" r:id="rId14"/>
    <sheet name="#4.1 - Company" sheetId="28" r:id="rId15"/>
    <sheet name="#4.2" sheetId="11" r:id="rId16"/>
    <sheet name="#4.3" sheetId="12" r:id="rId17"/>
    <sheet name="#4.4" sheetId="13" r:id="rId18"/>
    <sheet name="#4.5" sheetId="14" r:id="rId19"/>
    <sheet name="#4.6" sheetId="15" r:id="rId20"/>
    <sheet name="#4.7" sheetId="16" r:id="rId21"/>
    <sheet name="#4.8" sheetId="17" r:id="rId22"/>
    <sheet name="#4.9" sheetId="18" r:id="rId23"/>
    <sheet name="#5.1" sheetId="19" r:id="rId24"/>
    <sheet name="#5.2" sheetId="20" r:id="rId25"/>
    <sheet name="#5.3" sheetId="21" r:id="rId26"/>
    <sheet name="#6.1" sheetId="22" r:id="rId27"/>
    <sheet name="#6.2" sheetId="23" r:id="rId28"/>
    <sheet name="#6.3" sheetId="24" r:id="rId29"/>
    <sheet name="#6.4" sheetId="25" r:id="rId30"/>
  </sheets>
  <externalReferences>
    <externalReference r:id="rId31"/>
    <externalReference r:id="rId32"/>
  </externalReferences>
  <definedNames>
    <definedName name="Agency_type">[1]!Government_entity_type[[#All],[&lt; Agency type &gt;]]</definedName>
    <definedName name="Commodities_list">[2]!Table5_Commodities_list[HS Product Description w volume]</definedName>
    <definedName name="Commodity_names">[1]!Table5_Commodities_list[HS Product Description]</definedName>
    <definedName name="Companies_list" localSheetId="14">[1]!Companies[Full company name]</definedName>
    <definedName name="Companies_list" localSheetId="13">[1]!Companies[Full company name]</definedName>
    <definedName name="Companies_list" localSheetId="1">[1]!Companies[Full company name]</definedName>
    <definedName name="Companies_list" localSheetId="0">[1]!Companies[Full company name]</definedName>
    <definedName name="Companies_list">Companies[Full company name]</definedName>
    <definedName name="Countries_list">[1]!Table1_Country_codes_and_currencies[Country or Area name]</definedName>
    <definedName name="Currency_code_list">[2]!Table1_Country_codes_and_currencies[Currency code (ISO-4217)]</definedName>
    <definedName name="dddd">Government_revenues_table[Revenue stream name]</definedName>
    <definedName name="GFS_list">[1]!Table6_GFS_codes_classification[Combined]</definedName>
    <definedName name="gogosx">Government_agencies[Full name of agency]</definedName>
    <definedName name="Government_entities_list" localSheetId="14">[1]!Government_agencies[Full name of agency]</definedName>
    <definedName name="Government_entities_list" localSheetId="13">[1]!Government_agencies[Full name of agency]</definedName>
    <definedName name="Government_entities_list" localSheetId="1">[1]!Government_agencies[Full name of agency]</definedName>
    <definedName name="Government_entities_list" localSheetId="0">[1]!Government_agencies[Full name of agency]</definedName>
    <definedName name="Government_entities_list">Government_agencies[Full name of agency]</definedName>
    <definedName name="over">Government_revenues_table[Revenue value]</definedName>
    <definedName name="_xlnm.Print_Area" localSheetId="5">'#2.4'!$A$1:$J$14</definedName>
    <definedName name="Project_phases_list">[1]!Table12[Project phases]</definedName>
    <definedName name="Projectname" localSheetId="14">[1]!Companies15[Full project name]</definedName>
    <definedName name="Projectname" localSheetId="13">[1]!Companies15[Full project name]</definedName>
    <definedName name="Projectname" localSheetId="1">[1]!Companies15[Full project name]</definedName>
    <definedName name="Projectname" localSheetId="0">[1]!Companies15[Full project name]</definedName>
    <definedName name="Projectname">Companies15[Full project name]</definedName>
    <definedName name="Reporting_options_list">[2]!Table3_Reporting_options[List]</definedName>
    <definedName name="Revenue_stream_list" localSheetId="14">[1]!Government_revenues_table[Revenue stream name]</definedName>
    <definedName name="Revenue_stream_list" localSheetId="1">[1]!Government_revenues_table[Revenue stream name]</definedName>
    <definedName name="Revenue_stream_list" localSheetId="0">[1]!Government_revenues_table[Revenue stream name]</definedName>
    <definedName name="Revenue_stream_list">Government_revenues_table[Revenue stream name]</definedName>
    <definedName name="Sector_list">[1]!Table7_sectors[Sector(s)]</definedName>
    <definedName name="Simple_options_list">[1]!Table2_Simple_options[List]</definedName>
    <definedName name="Total_reconciled" localSheetId="0">[1]!Table10[Revenue value]</definedName>
    <definedName name="Total_reconciled">Table10[Revenue value]</definedName>
    <definedName name="Total_revenues" localSheetId="14">[1]!Government_revenues_table[Revenue value]</definedName>
    <definedName name="Total_revenues" localSheetId="1">[1]!Government_revenues_table[Revenue value]</definedName>
    <definedName name="Total_revenues" localSheetId="0">[1]!Government_revenues_table[Revenue value]</definedName>
    <definedName name="Total_revenues">Government_revenues_table[Revenue value]</definedName>
  </definedNames>
  <calcPr calcId="191029"/>
  <extLs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purl.oclc.org/ooxml/spreadsheetml/main">
  <c r="J1" i="24" l="1"/>
  <c r="J48" i="27" l="1"/>
  <c r="K32" i="26"/>
  <c r="K31" i="26"/>
  <c r="K50" i="26"/>
  <c r="K51" i="26"/>
  <c r="K52" i="26"/>
  <c r="K53" i="26"/>
  <c r="K54" i="26"/>
  <c r="K49" i="26"/>
  <c r="K71" i="26"/>
  <c r="K56" i="26"/>
  <c r="K86" i="26"/>
  <c r="K85" i="26"/>
  <c r="K84" i="26"/>
  <c r="K82" i="26"/>
  <c r="K76" i="26"/>
  <c r="K73" i="26"/>
  <c r="J169" i="28"/>
  <c r="J168" i="28"/>
  <c r="J167" i="28"/>
  <c r="J166" i="28"/>
  <c r="J165" i="28"/>
  <c r="J164" i="28"/>
  <c r="J163" i="28"/>
  <c r="J162" i="28"/>
  <c r="J161" i="28"/>
  <c r="J160" i="28"/>
  <c r="J159" i="28"/>
  <c r="J158" i="28"/>
  <c r="B165" i="28"/>
  <c r="B166" i="28"/>
  <c r="B167" i="28"/>
  <c r="B168" i="28"/>
  <c r="B162" i="28"/>
  <c r="B163" i="28"/>
  <c r="J157" i="28"/>
  <c r="J156" i="28"/>
  <c r="J155" i="28"/>
  <c r="B157" i="28"/>
  <c r="B158" i="28"/>
  <c r="B159" i="28"/>
  <c r="B160" i="28"/>
  <c r="B161" i="28"/>
  <c r="B164" i="28"/>
  <c r="J154" i="28"/>
  <c r="J153" i="28"/>
  <c r="J152" i="28"/>
  <c r="J151" i="28"/>
  <c r="J150" i="28"/>
  <c r="B151" i="28"/>
  <c r="B152" i="28"/>
  <c r="J145" i="28"/>
  <c r="J146" i="28"/>
  <c r="J147" i="28"/>
  <c r="J148" i="28"/>
  <c r="J149" i="28"/>
  <c r="J144" i="28"/>
  <c r="J143" i="28"/>
  <c r="J142" i="28"/>
  <c r="J141" i="28"/>
  <c r="B147" i="28"/>
  <c r="B148" i="28"/>
  <c r="B149" i="28"/>
  <c r="B150" i="28"/>
  <c r="B153" i="28"/>
  <c r="J140" i="28"/>
  <c r="J139" i="28"/>
  <c r="J138" i="28"/>
  <c r="J133" i="28"/>
  <c r="B133" i="28"/>
  <c r="J137" i="28"/>
  <c r="J136" i="28"/>
  <c r="J135" i="28"/>
  <c r="J134" i="28"/>
  <c r="J132" i="28"/>
  <c r="J131" i="28"/>
  <c r="J130" i="28"/>
  <c r="J129" i="28"/>
  <c r="J128" i="28"/>
  <c r="J127" i="28"/>
  <c r="J126" i="28"/>
  <c r="J125" i="28"/>
  <c r="J124" i="28"/>
  <c r="J123" i="28"/>
  <c r="J122" i="28"/>
  <c r="J121" i="28"/>
  <c r="B131" i="28"/>
  <c r="B132" i="28"/>
  <c r="B134" i="28"/>
  <c r="B135" i="28"/>
  <c r="B136" i="28"/>
  <c r="B137" i="28"/>
  <c r="B138" i="28"/>
  <c r="B139" i="28"/>
  <c r="B140" i="28"/>
  <c r="B141" i="28"/>
  <c r="B142" i="28"/>
  <c r="B143" i="28"/>
  <c r="B144" i="28"/>
  <c r="B145" i="28"/>
  <c r="B146" i="28"/>
  <c r="B154" i="28"/>
  <c r="B155" i="28"/>
  <c r="J120" i="28"/>
  <c r="J119" i="28"/>
  <c r="J118" i="28"/>
  <c r="J116" i="28"/>
  <c r="J115" i="28"/>
  <c r="J114" i="28"/>
  <c r="J113" i="28"/>
  <c r="J112" i="28"/>
  <c r="J111" i="28"/>
  <c r="J110" i="28"/>
  <c r="J109" i="28"/>
  <c r="J108" i="28"/>
  <c r="J107" i="28"/>
  <c r="J105" i="28"/>
  <c r="J104" i="28"/>
  <c r="J103" i="28"/>
  <c r="J102" i="28"/>
  <c r="J101" i="28"/>
  <c r="J100" i="28"/>
  <c r="B122" i="28"/>
  <c r="B123" i="28"/>
  <c r="B124" i="28"/>
  <c r="B125" i="28"/>
  <c r="B126" i="28"/>
  <c r="B127" i="28"/>
  <c r="B128" i="28"/>
  <c r="B129" i="28"/>
  <c r="B130" i="28"/>
  <c r="J99" i="28"/>
  <c r="J98" i="28"/>
  <c r="J97" i="28"/>
  <c r="J96" i="28"/>
  <c r="J95" i="28"/>
  <c r="J94" i="28"/>
  <c r="J93" i="28"/>
  <c r="B94" i="28"/>
  <c r="B95" i="28"/>
  <c r="B96" i="28"/>
  <c r="B97" i="28"/>
  <c r="B98" i="28"/>
  <c r="B99" i="28"/>
  <c r="B100" i="28"/>
  <c r="B101" i="28"/>
  <c r="B102" i="28"/>
  <c r="B103" i="28"/>
  <c r="B104" i="28"/>
  <c r="B105" i="28"/>
  <c r="B106" i="28"/>
  <c r="B107" i="28"/>
  <c r="B108" i="28"/>
  <c r="B109" i="28"/>
  <c r="B110" i="28"/>
  <c r="B111" i="28"/>
  <c r="B112" i="28"/>
  <c r="B113" i="28"/>
  <c r="B114" i="28"/>
  <c r="B115" i="28"/>
  <c r="B116" i="28"/>
  <c r="B117" i="28"/>
  <c r="B118" i="28"/>
  <c r="B119" i="28"/>
  <c r="B120" i="28"/>
  <c r="J92" i="28"/>
  <c r="J91" i="28"/>
  <c r="J90" i="28"/>
  <c r="J89" i="28"/>
  <c r="J88" i="28"/>
  <c r="J87" i="28"/>
  <c r="J86" i="28"/>
  <c r="J85" i="28"/>
  <c r="J84" i="28"/>
  <c r="J83" i="28"/>
  <c r="J82" i="28"/>
  <c r="J81" i="28"/>
  <c r="J80" i="28"/>
  <c r="J79" i="28"/>
  <c r="J78" i="28"/>
  <c r="J77" i="28"/>
  <c r="J76" i="28"/>
  <c r="J75" i="28"/>
  <c r="J74" i="28"/>
  <c r="J73" i="28"/>
  <c r="B76" i="28"/>
  <c r="B77" i="28"/>
  <c r="B78" i="28"/>
  <c r="B79" i="28"/>
  <c r="B80" i="28"/>
  <c r="B81" i="28"/>
  <c r="B82" i="28"/>
  <c r="B83" i="28"/>
  <c r="B84" i="28"/>
  <c r="B85" i="28"/>
  <c r="B86" i="28"/>
  <c r="B87" i="28"/>
  <c r="B88" i="28"/>
  <c r="J72" i="28"/>
  <c r="J71" i="28"/>
  <c r="J70" i="28"/>
  <c r="J69" i="28"/>
  <c r="J68" i="28"/>
  <c r="J67" i="28"/>
  <c r="J66" i="28"/>
  <c r="J65" i="28"/>
  <c r="J64" i="28"/>
  <c r="J63" i="28"/>
  <c r="J62" i="28"/>
  <c r="J59" i="28"/>
  <c r="J58" i="28"/>
  <c r="B58" i="28"/>
  <c r="B59" i="28"/>
  <c r="J57" i="28"/>
  <c r="J56" i="28"/>
  <c r="B56" i="28"/>
  <c r="B57" i="28"/>
  <c r="J61" i="28"/>
  <c r="J60" i="28"/>
  <c r="J55" i="28"/>
  <c r="J54" i="28"/>
  <c r="J53" i="28"/>
  <c r="J52" i="28"/>
  <c r="J51" i="28"/>
  <c r="J50" i="28"/>
  <c r="J49" i="28"/>
  <c r="B51" i="28"/>
  <c r="B52" i="28"/>
  <c r="B53" i="28"/>
  <c r="B54" i="28"/>
  <c r="B55" i="28"/>
  <c r="B60" i="28"/>
  <c r="B61" i="28"/>
  <c r="B62" i="28"/>
  <c r="B63" i="28"/>
  <c r="B64" i="28"/>
  <c r="B65" i="28"/>
  <c r="B66" i="28"/>
  <c r="B67" i="28"/>
  <c r="B68" i="28"/>
  <c r="B69" i="28"/>
  <c r="B70" i="28"/>
  <c r="B71" i="28"/>
  <c r="B72" i="28"/>
  <c r="B73" i="28"/>
  <c r="B74" i="28"/>
  <c r="J48" i="28"/>
  <c r="J47" i="28"/>
  <c r="J46" i="28"/>
  <c r="J45" i="28"/>
  <c r="B46" i="28"/>
  <c r="B47" i="28"/>
  <c r="B48" i="28"/>
  <c r="B49" i="28"/>
  <c r="B50" i="28"/>
  <c r="B75" i="28"/>
  <c r="B89" i="28"/>
  <c r="B90" i="28"/>
  <c r="B91" i="28"/>
  <c r="B92" i="28"/>
  <c r="B93" i="28"/>
  <c r="B121" i="28"/>
  <c r="B156" i="28"/>
  <c r="J44" i="28"/>
  <c r="J43" i="28"/>
  <c r="J42" i="28"/>
  <c r="J41" i="28"/>
  <c r="J40" i="28"/>
  <c r="J39" i="28"/>
  <c r="J38" i="28"/>
  <c r="J37" i="28"/>
  <c r="J36" i="28"/>
  <c r="J35" i="28"/>
  <c r="J34" i="28"/>
  <c r="J33" i="28"/>
  <c r="J31" i="28"/>
  <c r="J30" i="28"/>
  <c r="B32" i="28"/>
  <c r="B33" i="28"/>
  <c r="B34" i="28"/>
  <c r="B35" i="28"/>
  <c r="B36" i="28"/>
  <c r="B37" i="28"/>
  <c r="B38" i="28"/>
  <c r="B39" i="28"/>
  <c r="B40" i="28"/>
  <c r="B41" i="28"/>
  <c r="B42" i="28"/>
  <c r="B43" i="28"/>
  <c r="J29" i="28"/>
  <c r="J28" i="28"/>
  <c r="J27" i="28"/>
  <c r="J26" i="28"/>
  <c r="J25" i="28"/>
  <c r="J24" i="28"/>
  <c r="J23" i="28"/>
  <c r="J22" i="28"/>
  <c r="J21" i="28"/>
  <c r="J20" i="28"/>
  <c r="J19" i="28"/>
  <c r="J18" i="28"/>
  <c r="J17" i="28"/>
  <c r="J16" i="28"/>
  <c r="J15" i="28"/>
  <c r="B16" i="28"/>
  <c r="B17" i="28"/>
  <c r="B18" i="28"/>
  <c r="B19" i="28"/>
  <c r="B20" i="28"/>
  <c r="B21" i="28"/>
  <c r="B22" i="28"/>
  <c r="B23" i="28"/>
  <c r="B24" i="28"/>
  <c r="B25" i="28"/>
  <c r="B26" i="28"/>
  <c r="B27" i="28"/>
  <c r="B28" i="28"/>
  <c r="B29" i="28"/>
  <c r="B30" i="28"/>
  <c r="B31" i="28"/>
  <c r="B15" i="28"/>
  <c r="I112" i="26"/>
  <c r="I111" i="26"/>
  <c r="I110" i="26"/>
  <c r="G110" i="26"/>
  <c r="G112" i="26"/>
  <c r="G111" i="26"/>
  <c r="I108" i="26"/>
  <c r="I106" i="26"/>
  <c r="G106" i="26"/>
  <c r="I104" i="26"/>
  <c r="I103" i="26"/>
  <c r="G103" i="26"/>
  <c r="I101" i="26"/>
  <c r="G101" i="26"/>
  <c r="I99" i="26"/>
  <c r="G99" i="26"/>
  <c r="I97" i="26"/>
  <c r="G97" i="26"/>
  <c r="I96" i="26"/>
  <c r="G96" i="26"/>
  <c r="I94" i="26"/>
  <c r="G94" i="26"/>
  <c r="G95" i="26"/>
  <c r="I95" i="26"/>
  <c r="I109" i="26"/>
  <c r="G109" i="26"/>
  <c r="G107" i="26"/>
  <c r="I107" i="26"/>
  <c r="I105" i="26"/>
  <c r="G105" i="26"/>
  <c r="I102" i="26"/>
  <c r="G102" i="26"/>
  <c r="I100" i="26"/>
  <c r="G100" i="26"/>
  <c r="I98" i="26"/>
  <c r="G98" i="26"/>
  <c r="I93" i="26"/>
  <c r="G93" i="26"/>
  <c r="J173" i="28" l="1"/>
  <c r="K70" i="26"/>
  <c r="K69" i="26"/>
  <c r="K48" i="26"/>
  <c r="K47" i="26"/>
  <c r="K46" i="26"/>
  <c r="K88" i="26"/>
  <c r="K42" i="26"/>
  <c r="K41" i="26"/>
  <c r="K40" i="26"/>
  <c r="K39" i="26"/>
  <c r="K38" i="26"/>
  <c r="K37" i="26"/>
  <c r="K36" i="26"/>
  <c r="K35" i="26"/>
  <c r="K45" i="26"/>
  <c r="K44" i="26"/>
  <c r="K43" i="26"/>
  <c r="K34" i="26"/>
  <c r="K33" i="26"/>
  <c r="K68" i="26"/>
  <c r="K67" i="26"/>
  <c r="K66" i="26"/>
  <c r="K65" i="26"/>
  <c r="K64" i="26"/>
  <c r="K63" i="26"/>
  <c r="K62" i="26"/>
  <c r="K61" i="26"/>
  <c r="K60" i="26"/>
  <c r="K59" i="26"/>
  <c r="K58" i="26"/>
  <c r="K57" i="26"/>
  <c r="K55" i="26"/>
  <c r="K81" i="26"/>
  <c r="K80" i="26"/>
  <c r="K79" i="26"/>
  <c r="K75" i="26"/>
  <c r="K78" i="26"/>
  <c r="K77" i="26"/>
  <c r="K74" i="26"/>
  <c r="K87" i="26"/>
  <c r="K83" i="26"/>
  <c r="G23" i="26" l="1"/>
  <c r="G22" i="26"/>
  <c r="G19" i="26"/>
  <c r="G17" i="26"/>
  <c r="G16" i="26"/>
  <c r="J43" i="27"/>
  <c r="J42" i="27"/>
  <c r="J41" i="27"/>
  <c r="B41" i="27"/>
  <c r="C41" i="27"/>
  <c r="D41" i="27"/>
  <c r="E41" i="27"/>
  <c r="B42" i="27"/>
  <c r="C42" i="27"/>
  <c r="D42" i="27"/>
  <c r="E42" i="27"/>
  <c r="B43" i="27"/>
  <c r="C43" i="27"/>
  <c r="D43" i="27"/>
  <c r="E43" i="27"/>
  <c r="J40" i="27"/>
  <c r="J26" i="27"/>
  <c r="B26" i="27"/>
  <c r="C26" i="27"/>
  <c r="D26" i="27"/>
  <c r="E26" i="27"/>
  <c r="J24" i="27"/>
  <c r="J39" i="27"/>
  <c r="J38" i="27"/>
  <c r="B38" i="27"/>
  <c r="C38" i="27"/>
  <c r="D38" i="27"/>
  <c r="E38" i="27"/>
  <c r="B39" i="27"/>
  <c r="C39" i="27"/>
  <c r="D39" i="27"/>
  <c r="E39" i="27"/>
  <c r="J37" i="27"/>
  <c r="J36" i="27"/>
  <c r="J35" i="27"/>
  <c r="J34" i="27"/>
  <c r="J33" i="27"/>
  <c r="J32" i="27"/>
  <c r="J31" i="27"/>
  <c r="J30" i="27"/>
  <c r="J23" i="27"/>
  <c r="J22" i="27"/>
  <c r="J29" i="27"/>
  <c r="J28" i="27"/>
  <c r="J27" i="27"/>
  <c r="J25" i="27"/>
  <c r="E25" i="27"/>
  <c r="D25" i="27"/>
  <c r="C25" i="27"/>
  <c r="B25" i="27"/>
  <c r="G21" i="26"/>
  <c r="J61" i="27"/>
  <c r="J46" i="27" l="1"/>
  <c r="F14" i="20"/>
  <c r="E31" i="30" l="1"/>
  <c r="B44" i="28"/>
  <c r="B45" i="28"/>
  <c r="B169" i="28"/>
  <c r="J171" i="28"/>
  <c r="E44" i="27"/>
  <c r="D44" i="27"/>
  <c r="C44" i="27"/>
  <c r="B44" i="27"/>
  <c r="E40" i="27"/>
  <c r="D40" i="27"/>
  <c r="C40" i="27"/>
  <c r="B40" i="27"/>
  <c r="E37" i="27"/>
  <c r="D37" i="27"/>
  <c r="C37" i="27"/>
  <c r="B37" i="27"/>
  <c r="E36" i="27"/>
  <c r="D36" i="27"/>
  <c r="C36" i="27"/>
  <c r="B36" i="27"/>
  <c r="E35" i="27"/>
  <c r="D35" i="27"/>
  <c r="C35" i="27"/>
  <c r="B35" i="27"/>
  <c r="E34" i="27"/>
  <c r="D34" i="27"/>
  <c r="C34" i="27"/>
  <c r="B34" i="27"/>
  <c r="E33" i="27"/>
  <c r="D33" i="27"/>
  <c r="C33" i="27"/>
  <c r="B33" i="27"/>
  <c r="E32" i="27"/>
  <c r="D32" i="27"/>
  <c r="C32" i="27"/>
  <c r="B32" i="27"/>
  <c r="E31" i="27"/>
  <c r="D31" i="27"/>
  <c r="C31" i="27"/>
  <c r="B31" i="27"/>
  <c r="E30" i="27"/>
  <c r="D30" i="27"/>
  <c r="C30" i="27"/>
  <c r="B30" i="27"/>
  <c r="E29" i="27"/>
  <c r="D29" i="27"/>
  <c r="C29" i="27"/>
  <c r="B29" i="27"/>
  <c r="E28" i="27"/>
  <c r="D28" i="27"/>
  <c r="C28" i="27"/>
  <c r="B28" i="27"/>
  <c r="E27" i="27"/>
  <c r="D27" i="27"/>
  <c r="C27" i="27"/>
  <c r="B27" i="27"/>
  <c r="E24" i="27"/>
  <c r="D24" i="27"/>
  <c r="C24" i="27"/>
  <c r="B24" i="27"/>
  <c r="E23" i="27"/>
  <c r="D23" i="27"/>
  <c r="C23" i="27"/>
  <c r="B23" i="27"/>
  <c r="E22" i="27"/>
  <c r="D22" i="27"/>
  <c r="C22" i="27"/>
  <c r="B22" i="27"/>
  <c r="N4" i="27"/>
  <c r="H12" i="25"/>
  <c r="F11" i="25"/>
  <c r="H11" i="25" s="1"/>
  <c r="H10" i="25"/>
  <c r="H15" i="23"/>
  <c r="F14" i="22"/>
  <c r="F9" i="20"/>
  <c r="H14" i="19"/>
  <c r="F9" i="19"/>
  <c r="H9" i="19" s="1"/>
  <c r="F12" i="18"/>
  <c r="F11" i="18"/>
  <c r="F10" i="18"/>
  <c r="H10" i="18" s="1"/>
  <c r="F9" i="18"/>
  <c r="F8" i="18"/>
  <c r="F7" i="18"/>
  <c r="F9" i="17"/>
  <c r="F8" i="17"/>
  <c r="H8" i="17" s="1"/>
  <c r="F7" i="17"/>
  <c r="H7" i="17" s="1"/>
  <c r="F10" i="16"/>
  <c r="F9" i="16"/>
  <c r="F8" i="16"/>
  <c r="F9" i="14"/>
  <c r="F9" i="11"/>
  <c r="B21" i="11"/>
  <c r="B19" i="11"/>
  <c r="B17" i="11"/>
  <c r="B27" i="9"/>
  <c r="B25" i="9"/>
  <c r="B23" i="9"/>
  <c r="B21" i="9"/>
  <c r="B19" i="9"/>
  <c r="B17" i="9"/>
  <c r="B15" i="9"/>
  <c r="B13" i="9"/>
  <c r="B27" i="8"/>
  <c r="B25" i="8"/>
  <c r="B23" i="8"/>
  <c r="B21" i="8"/>
  <c r="B19" i="8"/>
  <c r="B17" i="8"/>
  <c r="B15" i="8"/>
  <c r="B13" i="8"/>
</calcChain>
</file>

<file path=xl/comments1.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tc={805FAB43-6001-453C-94CD-9581DB8F9AAF}</author>
    <author>tc={D999A278-5A34-4DDD-A1E2-DD7232566DFE}</author>
  </authors>
  <commentList>
    <comment ref="E42" authorId="0" shapeId="3076" xr:uid="{805FAB43-6001-453C-94CD-9581DB8F9AAF}">
      <text>
        <t>[Threaded comment]
Your version of Excel allows you to read this threaded comment; however, any edits to it will get removed if the file is opened in a newer version of Excel. Learn more: https://go.microsoft.com/fwlink/?linkid=870924
Comment:
    Yet to Comment
Reply:
    From data summary - reconfirm</t>
      </text>
      <mc:AlternateContent xmlns:mc="http://schemas.openxmlformats.org/markup-compatibility/2006">
        <mc:Choice Requires="v"/>
        <mc:Fallback>
          <commentPr defaultSize="0" autoFill="0" autoLine="0">
            <anchor>
              <from>
                <xdr:col>5</xdr:col>
                <xdr:colOff>121920</xdr:colOff>
                <xdr:row>40</xdr:row>
                <xdr:rowOff>114300</xdr:rowOff>
              </from>
              <to>
                <xdr:col>6</xdr:col>
                <xdr:colOff>1264920</xdr:colOff>
                <xdr:row>44</xdr:row>
                <xdr:rowOff>0</xdr:rowOff>
              </to>
            </anchor>
          </commentPr>
        </mc:Fallback>
      </mc:AlternateContent>
    </comment>
    <comment ref="E43" authorId="1" shapeId="3077" xr:uid="{D999A278-5A34-4DDD-A1E2-DD7232566DFE}">
      <text>
        <t>[Threaded comment]
Your version of Excel allows you to read this threaded comment; however, any edits to it will get removed if the file is opened in a newer version of Excel. Learn more: https://go.microsoft.com/fwlink/?linkid=870924
Comment:
    Ye to comment
Reply:
    From summary data - reconfirm</t>
      </text>
      <mc:AlternateContent xmlns:mc="http://schemas.openxmlformats.org/markup-compatibility/2006">
        <mc:Choice Requires="v"/>
        <mc:Fallback>
          <commentPr defaultSize="0" autoFill="0" autoLine="0">
            <anchor>
              <from>
                <xdr:col>5</xdr:col>
                <xdr:colOff>121920</xdr:colOff>
                <xdr:row>41</xdr:row>
                <xdr:rowOff>114300</xdr:rowOff>
              </from>
              <to>
                <xdr:col>6</xdr:col>
                <xdr:colOff>1264920</xdr:colOff>
                <xdr:row>45</xdr:row>
                <xdr:rowOff>0</xdr:rowOff>
              </to>
            </anchor>
          </commentPr>
        </mc:Fallback>
      </mc:AlternateContent>
    </comment>
  </commentList>
</comments>
</file>

<file path=xl/comments2.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tc={2E746D02-F38F-4795-B186-7DBEC4C55E7C}</author>
    <author>tc={8C4DF42C-A91F-40BC-A491-83798B467522}</author>
  </authors>
  <commentList>
    <comment ref="P16" authorId="0" shapeId="61441" xr:uid="{2E746D02-F38F-4795-B186-7DBEC4C55E7C}">
      <text>
        <t>[Threaded comment]
Your version of Excel allows you to read this threaded comment; however, any edits to it will get removed if the file is opened in a newer version of Excel. Learn more: https://go.microsoft.com/fwlink/?linkid=870924
Comment:
    Leonard - what is fiscal devolution (am unable in pg 59-62)</t>
      </text>
      <mc:AlternateContent xmlns:mc="http://schemas.openxmlformats.org/markup-compatibility/2006">
        <mc:Choice Requires="v"/>
        <mc:Fallback>
          <commentPr defaultSize="0" autoFill="0" autoLine="0">
            <anchor>
              <from>
                <xdr:col>15</xdr:col>
                <xdr:colOff>3131820</xdr:colOff>
                <xdr:row>14</xdr:row>
                <xdr:rowOff>38100</xdr:rowOff>
              </from>
              <to>
                <xdr:col>16</xdr:col>
                <xdr:colOff>121920</xdr:colOff>
                <xdr:row>15</xdr:row>
                <xdr:rowOff>457200</xdr:rowOff>
              </to>
            </anchor>
          </commentPr>
        </mc:Fallback>
      </mc:AlternateContent>
    </comment>
    <comment ref="P23" authorId="1" shapeId="61442" xr:uid="{8C4DF42C-A91F-40BC-A491-83798B467522}">
      <text>
        <t>[Threaded comment]
Your version of Excel allows you to read this threaded comment; however, any edits to it will get removed if the file is opened in a newer version of Excel. Learn more: https://go.microsoft.com/fwlink/?linkid=870924
Comment:
    Leonard - what is fiscal devolution (am unable in pg 59-62)</t>
      </text>
      <mc:AlternateContent xmlns:mc="http://schemas.openxmlformats.org/markup-compatibility/2006">
        <mc:Choice Requires="v"/>
        <mc:Fallback>
          <commentPr defaultSize="0" autoFill="0" autoLine="0">
            <anchor>
              <from>
                <xdr:col>15</xdr:col>
                <xdr:colOff>3131820</xdr:colOff>
                <xdr:row>20</xdr:row>
                <xdr:rowOff>228600</xdr:rowOff>
              </from>
              <to>
                <xdr:col>16</xdr:col>
                <xdr:colOff>121920</xdr:colOff>
                <xdr:row>21</xdr:row>
                <xdr:rowOff>624840</xdr:rowOff>
              </to>
            </anchor>
          </commentPr>
        </mc:Fallback>
      </mc:AlternateContent>
    </comment>
  </commentList>
</comments>
</file>

<file path=xl/comments3.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Fidelma Jeka</author>
  </authors>
  <commentList>
    <comment ref="D19" authorId="0" shapeId="11269" xr:uid="{12DE203A-5AA5-4198-B8A3-5297458FAD20}">
      <text>
        <r>
          <rPr>
            <sz val="12"/>
            <color theme="1"/>
            <rFont val="Calibri"/>
            <family val="2"/>
            <scheme val="minor"/>
          </rPr>
          <t>Fidelma Jeka:
Recheck this on SOE Audited FS</t>
        </r>
      </text>
      <mc:AlternateContent xmlns:mc="http://schemas.openxmlformats.org/markup-compatibility/2006">
        <mc:Choice Requires="v"/>
        <mc:Fallback>
          <commentPr defaultSize="0" autoFill="0" autoLine="0">
            <anchor>
              <from>
                <xdr:col>4</xdr:col>
                <xdr:colOff>129540</xdr:colOff>
                <xdr:row>15</xdr:row>
                <xdr:rowOff>236220</xdr:rowOff>
              </from>
              <to>
                <xdr:col>5</xdr:col>
                <xdr:colOff>1257300</xdr:colOff>
                <xdr:row>16</xdr:row>
                <xdr:rowOff>426720</xdr:rowOff>
              </to>
            </anchor>
          </commentPr>
        </mc:Fallback>
      </mc:AlternateContent>
    </comment>
    <comment ref="D21" authorId="0" shapeId="11268" xr:uid="{7334FEEC-6AB4-495C-89C1-E2301A8B93E9}">
      <text>
        <r>
          <rPr>
            <sz val="12"/>
            <color theme="1"/>
            <rFont val="Calibri"/>
            <family val="2"/>
            <scheme val="minor"/>
          </rPr>
          <t xml:space="preserve">Fidelma Jeka:
Recheck
</t>
        </r>
      </text>
      <mc:AlternateContent xmlns:mc="http://schemas.openxmlformats.org/markup-compatibility/2006">
        <mc:Choice Requires="v"/>
        <mc:Fallback>
          <commentPr defaultSize="0" autoFill="0" autoLine="0">
            <anchor>
              <from>
                <xdr:col>4</xdr:col>
                <xdr:colOff>129540</xdr:colOff>
                <xdr:row>17</xdr:row>
                <xdr:rowOff>335280</xdr:rowOff>
              </from>
              <to>
                <xdr:col>5</xdr:col>
                <xdr:colOff>1257300</xdr:colOff>
                <xdr:row>17</xdr:row>
                <xdr:rowOff>1082040</xdr:rowOff>
              </to>
            </anchor>
          </commentPr>
        </mc:Fallback>
      </mc:AlternateContent>
    </comment>
  </commentList>
</comments>
</file>

<file path=xl/comments4.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tc={5884FBD0-93A8-40C7-8E57-E8AF3DBB47A0}</author>
  </authors>
  <commentList>
    <comment ref="P11" authorId="0" shapeId="86018" xr:uid="{5884FBD0-93A8-40C7-8E57-E8AF3DBB47A0}">
      <text>
        <t>[Threaded comment]
Your version of Excel allows you to read this threaded comment; however, any edits to it will get removed if the file is opened in a newer version of Excel. Learn more: https://go.microsoft.com/fwlink/?linkid=870924
Comment:
    Leonard to comment on accuracy of formula</t>
      </text>
      <mc:AlternateContent xmlns:mc="http://schemas.openxmlformats.org/markup-compatibility/2006">
        <mc:Choice Requires="v"/>
        <mc:Fallback>
          <commentPr defaultSize="0" autoFill="0" autoLine="0">
            <anchor>
              <from>
                <xdr:col>16</xdr:col>
                <xdr:colOff>83820</xdr:colOff>
                <xdr:row>9</xdr:row>
                <xdr:rowOff>3055620</xdr:rowOff>
              </from>
              <to>
                <xdr:col>17</xdr:col>
                <xdr:colOff>1181100</xdr:colOff>
                <xdr:row>10</xdr:row>
                <xdr:rowOff>693420</xdr:rowOff>
              </to>
            </anchor>
          </commentPr>
        </mc:Fallback>
      </mc:AlternateContent>
    </comment>
  </commentList>
</comments>
</file>

<file path=xl/comments5.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Rowina Belapuna</author>
  </authors>
  <commentList>
    <comment ref="F19" authorId="0" shapeId="25602" xr:uid="{36F25052-5F7B-4B42-B869-B5A9E51A146A}">
      <text>
        <r>
          <rPr>
            <b/>
            <sz val="9"/>
            <color indexed="81"/>
            <rFont val="Tahoma"/>
            <family val="2"/>
          </rPr>
          <t>Rowina Belapuna:</t>
        </r>
        <r>
          <rPr>
            <sz val="9"/>
            <color indexed="81"/>
            <rFont val="Tahoma"/>
            <family val="2"/>
          </rPr>
          <t xml:space="preserve">
Insert the individual company website reference</t>
        </r>
      </text>
      <mc:AlternateContent xmlns:mc="http://schemas.openxmlformats.org/markup-compatibility/2006">
        <mc:Choice Requires="v"/>
        <mc:Fallback>
          <commentPr defaultSize="0" autoFill="0" autoLine="0">
            <anchor>
              <from>
                <xdr:col>6</xdr:col>
                <xdr:colOff>121920</xdr:colOff>
                <xdr:row>7</xdr:row>
                <xdr:rowOff>2133600</xdr:rowOff>
              </from>
              <to>
                <xdr:col>7</xdr:col>
                <xdr:colOff>1257300</xdr:colOff>
                <xdr:row>7</xdr:row>
                <xdr:rowOff>2857500</xdr:rowOff>
              </to>
            </anchor>
          </commentPr>
        </mc:Fallback>
      </mc:AlternateContent>
    </comment>
  </commentList>
</comments>
</file>

<file path=xl/comments6.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Fidelma Jeka</author>
  </authors>
  <commentList>
    <comment ref="E15" authorId="0" shapeId="13313" xr:uid="{C4A9C39D-8F97-4498-BF33-423C0F2900F1}">
      <text>
        <r>
          <rPr>
            <sz val="12"/>
            <color theme="1"/>
            <rFont val="Calibri"/>
            <family val="2"/>
            <scheme val="minor"/>
          </rPr>
          <t>Fidelma Jeka:
Recheck and answer all in red</t>
        </r>
      </text>
      <mc:AlternateContent xmlns:mc="http://schemas.openxmlformats.org/markup-compatibility/2006">
        <mc:Choice Requires="v"/>
        <mc:Fallback>
          <commentPr defaultSize="0" autoFill="0" autoLine="0">
            <anchor>
              <from>
                <xdr:col>5</xdr:col>
                <xdr:colOff>121920</xdr:colOff>
                <xdr:row>13</xdr:row>
                <xdr:rowOff>83820</xdr:rowOff>
              </from>
              <to>
                <xdr:col>5</xdr:col>
                <xdr:colOff>1493520</xdr:colOff>
                <xdr:row>17</xdr:row>
                <xdr:rowOff>45720</xdr:rowOff>
              </to>
            </anchor>
          </commentPr>
        </mc:Fallback>
      </mc:AlternateContent>
    </comment>
  </commentList>
</comments>
</file>

<file path=xl/comments7.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Rowina Belapuna</author>
  </authors>
  <commentList>
    <comment ref="H8" authorId="0" shapeId="55297" xr:uid="{260AB287-C96E-407B-B8DA-9E1BE3951F76}">
      <text>
        <r>
          <rPr>
            <b/>
            <sz val="9"/>
            <color indexed="81"/>
            <rFont val="Tahoma"/>
            <family val="2"/>
          </rPr>
          <t>Rowina Belapuna:</t>
        </r>
        <r>
          <rPr>
            <sz val="9"/>
            <color indexed="81"/>
            <rFont val="Tahoma"/>
            <family val="2"/>
          </rPr>
          <t xml:space="preserve">
Evidence </t>
        </r>
      </text>
      <mc:AlternateContent xmlns:mc="http://schemas.openxmlformats.org/markup-compatibility/2006">
        <mc:Choice Requires="v"/>
        <mc:Fallback>
          <commentPr defaultSize="0" autoFill="0" autoLine="0">
            <anchor>
              <from>
                <xdr:col>8</xdr:col>
                <xdr:colOff>121920</xdr:colOff>
                <xdr:row>7</xdr:row>
                <xdr:rowOff>7620</xdr:rowOff>
              </from>
              <to>
                <xdr:col>9</xdr:col>
                <xdr:colOff>1257300</xdr:colOff>
                <xdr:row>8</xdr:row>
                <xdr:rowOff>350520</xdr:rowOff>
              </to>
            </anchor>
          </commentPr>
        </mc:Fallback>
      </mc:AlternateContent>
    </comment>
  </commentList>
</comments>
</file>

<file path=xl/sharedStrings.xml><?xml version="1.0" encoding="utf-8"?>
<sst xmlns="http://purl.oclc.org/ooxml/spreadsheetml/main" count="3957" uniqueCount="1266">
  <si>
    <t>Completed on:</t>
  </si>
  <si>
    <t xml:space="preserve">Multi-stakeholder group approved on: </t>
  </si>
  <si>
    <t>Transparency template for EITI disclosures</t>
  </si>
  <si>
    <t>Version 1.1 as of 1 January 2021</t>
  </si>
  <si>
    <t>Filling in this Transparency data collection template will help the MSG prepare for Validation and is a requirement of the 2021 EITI Validation procedure.</t>
  </si>
  <si>
    <t>How filling out the Transparency data collection template works:</t>
  </si>
  <si>
    <t>1. Use one excel workbook per fiscal year covered. If the country is reporting on both oil &amp; gas and mining, both can fit into one workbook.</t>
  </si>
  <si>
    <t xml:space="preserve">2. Fill in the entire workbook </t>
  </si>
  <si>
    <t>3. This Transparency sheet should be submitted to the EITI International Secretariat ahead of the commencement of Validation, alongside the data collection templates related to 'Stakeholder engagement' and 'Outcomes and impact'. Send it to your country manager at the International Secretariat.</t>
  </si>
  <si>
    <r>
      <rPr>
        <sz val="12"/>
        <rFont val="Franklin Gothic Book"/>
        <family val="2"/>
      </rPr>
      <t>4. The template will be used as the basis for the country's Validation</t>
    </r>
    <r>
      <rPr>
        <sz val="12"/>
        <color theme="1"/>
        <rFont val="Franklin Gothic Book"/>
        <family val="2"/>
      </rPr>
      <t xml:space="preserve">. </t>
    </r>
    <r>
      <rPr>
        <sz val="12"/>
        <rFont val="Franklin Gothic Book"/>
        <family val="2"/>
      </rPr>
      <t xml:space="preserve">You will receive the file back with questions and comments, to be addressed as part of the Validation process. </t>
    </r>
  </si>
  <si>
    <r>
      <t xml:space="preserve">This template should be </t>
    </r>
    <r>
      <rPr>
        <b/>
        <u/>
        <sz val="12"/>
        <rFont val="Franklin Gothic Book"/>
        <family val="2"/>
      </rPr>
      <t>completed in full and published</t>
    </r>
    <r>
      <rPr>
        <b/>
        <sz val="12"/>
        <rFont val="Franklin Gothic Book"/>
        <family val="2"/>
      </rPr>
      <t xml:space="preserve"> for each fiscal year covered under EITI Reporting.</t>
    </r>
  </si>
  <si>
    <t>The International Secretariat can provide advice and support on request. If you have any questions, please contact your country manager at the EITI International Secretariat.</t>
  </si>
  <si>
    <t>Cells in orange must be completed before submission</t>
  </si>
  <si>
    <t>Cells in light blue are for supplying sources and/or comments</t>
  </si>
  <si>
    <t>White cells require no action</t>
  </si>
  <si>
    <t>Cells in grey are for your information.</t>
  </si>
  <si>
    <r>
      <rPr>
        <b/>
        <i/>
        <u/>
        <sz val="11"/>
        <color theme="1"/>
        <rFont val="Franklin Gothic Book"/>
        <family val="2"/>
      </rPr>
      <t>Terminology:</t>
    </r>
    <r>
      <rPr>
        <b/>
        <i/>
        <sz val="11"/>
        <color theme="1"/>
        <rFont val="Franklin Gothic Book"/>
        <family val="2"/>
      </rPr>
      <t xml:space="preserve"> Disclosure</t>
    </r>
  </si>
  <si>
    <r>
      <rPr>
        <b/>
        <i/>
        <u/>
        <sz val="11"/>
        <color theme="1"/>
        <rFont val="Franklin Gothic Book"/>
        <family val="2"/>
      </rPr>
      <t>Terminology:</t>
    </r>
    <r>
      <rPr>
        <b/>
        <i/>
        <sz val="11"/>
        <color theme="1"/>
        <rFont val="Franklin Gothic Book"/>
        <family val="2"/>
      </rPr>
      <t xml:space="preserve"> Simple options</t>
    </r>
  </si>
  <si>
    <t>Sub requirement sheets</t>
  </si>
  <si>
    <r>
      <rPr>
        <i/>
        <u/>
        <sz val="11"/>
        <color theme="1"/>
        <rFont val="Franklin Gothic Book"/>
        <family val="2"/>
      </rPr>
      <t>Yes, systematically disclosed</t>
    </r>
    <r>
      <rPr>
        <i/>
        <sz val="11"/>
        <color theme="1"/>
        <rFont val="Franklin Gothic Book"/>
        <family val="2"/>
      </rPr>
      <t>: If data is regularly and publicly disclosed by government agencies or companies, and the data is reliable, please select Yes, systematically disclosed</t>
    </r>
  </si>
  <si>
    <r>
      <rPr>
        <i/>
        <u/>
        <sz val="11"/>
        <color theme="1"/>
        <rFont val="Franklin Gothic Book"/>
        <family val="2"/>
      </rPr>
      <t>Yes</t>
    </r>
    <r>
      <rPr>
        <i/>
        <sz val="11"/>
        <color theme="1"/>
        <rFont val="Franklin Gothic Book"/>
        <family val="2"/>
      </rPr>
      <t>: All the aspects of the question are answered/covered.</t>
    </r>
  </si>
  <si>
    <r>
      <rPr>
        <i/>
        <u/>
        <sz val="11"/>
        <color theme="1"/>
        <rFont val="Franklin Gothic Book"/>
        <family val="2"/>
      </rPr>
      <t>Underlying objectives</t>
    </r>
    <r>
      <rPr>
        <i/>
        <sz val="11"/>
        <color theme="1"/>
        <rFont val="Franklin Gothic Book"/>
        <family val="2"/>
      </rPr>
      <t>: The MSG to evaluate if they believe the country is meeting the underlying objective of the requirement</t>
    </r>
  </si>
  <si>
    <r>
      <rPr>
        <i/>
        <u/>
        <sz val="11"/>
        <color theme="1"/>
        <rFont val="Franklin Gothic Book"/>
        <family val="2"/>
      </rPr>
      <t>Yes, through EITI reporting</t>
    </r>
    <r>
      <rPr>
        <i/>
        <sz val="11"/>
        <color theme="1"/>
        <rFont val="Franklin Gothic Book"/>
        <family val="2"/>
      </rPr>
      <t>: If the EITI Report covers certain data gaps in government or corporate disclosures, please select "Yes, in EITI Report".</t>
    </r>
  </si>
  <si>
    <r>
      <t>Partially:</t>
    </r>
    <r>
      <rPr>
        <i/>
        <sz val="11"/>
        <color theme="1"/>
        <rFont val="Franklin Gothic Book"/>
        <family val="2"/>
      </rPr>
      <t>Aspects of the question have been answered/covered.</t>
    </r>
  </si>
  <si>
    <r>
      <t>If a requirement is not applicable</t>
    </r>
    <r>
      <rPr>
        <i/>
        <sz val="11"/>
        <color theme="1"/>
        <rFont val="Franklin Gothic Book"/>
        <family val="2"/>
      </rPr>
      <t xml:space="preserve">, the MSG must include the reference to the document (MSG minutes) where the non-applicablilty is determined. </t>
    </r>
  </si>
  <si>
    <r>
      <rPr>
        <i/>
        <u/>
        <sz val="11"/>
        <color theme="1"/>
        <rFont val="Franklin Gothic Book"/>
        <family val="2"/>
      </rPr>
      <t>Not available</t>
    </r>
    <r>
      <rPr>
        <i/>
        <sz val="11"/>
        <color theme="1"/>
        <rFont val="Franklin Gothic Book"/>
        <family val="2"/>
      </rPr>
      <t>: The data is applicable in the country, but no data or information is available.</t>
    </r>
  </si>
  <si>
    <r>
      <rPr>
        <i/>
        <u/>
        <sz val="11"/>
        <color theme="1"/>
        <rFont val="Franklin Gothic Book"/>
        <family val="2"/>
      </rPr>
      <t>No</t>
    </r>
    <r>
      <rPr>
        <i/>
        <sz val="11"/>
        <color theme="1"/>
        <rFont val="Franklin Gothic Book"/>
        <family val="2"/>
      </rPr>
      <t>: No information is covered.</t>
    </r>
  </si>
  <si>
    <r>
      <t xml:space="preserve">Not applicable: </t>
    </r>
    <r>
      <rPr>
        <i/>
        <sz val="11"/>
        <color theme="1"/>
        <rFont val="Franklin Gothic Book"/>
        <family val="2"/>
      </rPr>
      <t xml:space="preserve">If a requirement is not relevant, please select "Not applicable". Refer to any evidence documented as part of the EITI Report, or through minutes of a multi-stakeholder meeting. </t>
    </r>
  </si>
  <si>
    <r>
      <t>Not applicable</t>
    </r>
    <r>
      <rPr>
        <i/>
        <sz val="11"/>
        <color theme="1"/>
        <rFont val="Franklin Gothic Book"/>
        <family val="2"/>
      </rPr>
      <t>: The question is not relevant for the case, When it is required, please refer to evidence of non-applicability.</t>
    </r>
  </si>
  <si>
    <t>EITI International Secretariat</t>
  </si>
  <si>
    <r>
      <t xml:space="preserve">Phone: </t>
    </r>
    <r>
      <rPr>
        <b/>
        <sz val="11"/>
        <color rgb="FF165B89"/>
        <rFont val="Franklin Gothic Book"/>
        <family val="2"/>
      </rPr>
      <t>+47 222 00 800</t>
    </r>
    <r>
      <rPr>
        <b/>
        <sz val="11"/>
        <color rgb="FF000000"/>
        <rFont val="Franklin Gothic Book"/>
        <family val="2"/>
      </rPr>
      <t xml:space="preserve">   </t>
    </r>
    <r>
      <rPr>
        <b/>
        <sz val="11"/>
        <color rgb="FF000000"/>
        <rFont val="Wingdings"/>
        <charset val="2"/>
      </rPr>
      <t></t>
    </r>
    <r>
      <rPr>
        <b/>
        <sz val="11"/>
        <color rgb="FF000000"/>
        <rFont val="Franklin Gothic Book"/>
        <family val="2"/>
      </rPr>
      <t xml:space="preserve">   E-mail: </t>
    </r>
    <r>
      <rPr>
        <b/>
        <u/>
        <sz val="11"/>
        <color rgb="FF165B89"/>
        <rFont val="Franklin Gothic Book"/>
        <family val="2"/>
      </rPr>
      <t>secretariat@eiti.org</t>
    </r>
    <r>
      <rPr>
        <b/>
        <sz val="11"/>
        <color rgb="FF000000"/>
        <rFont val="Franklin Gothic Book"/>
        <family val="2"/>
      </rPr>
      <t xml:space="preserve">   </t>
    </r>
    <r>
      <rPr>
        <b/>
        <sz val="11"/>
        <color rgb="FF000000"/>
        <rFont val="Wingdings"/>
        <charset val="2"/>
      </rPr>
      <t></t>
    </r>
    <r>
      <rPr>
        <b/>
        <sz val="11"/>
        <color rgb="FF000000"/>
        <rFont val="Franklin Gothic Book"/>
        <family val="2"/>
      </rPr>
      <t xml:space="preserve">   Twitter: </t>
    </r>
    <r>
      <rPr>
        <b/>
        <sz val="11"/>
        <color rgb="FF165B89"/>
        <rFont val="Franklin Gothic Book"/>
        <family val="2"/>
      </rPr>
      <t>@EITIorg</t>
    </r>
    <r>
      <rPr>
        <b/>
        <sz val="11"/>
        <color rgb="FF000000"/>
        <rFont val="Franklin Gothic Book"/>
        <family val="2"/>
      </rPr>
      <t xml:space="preserve">  </t>
    </r>
    <r>
      <rPr>
        <b/>
        <sz val="11"/>
        <color rgb="FF000000"/>
        <rFont val="Wingdings"/>
        <charset val="2"/>
      </rPr>
      <t xml:space="preserve"> </t>
    </r>
    <r>
      <rPr>
        <b/>
        <sz val="11"/>
        <color rgb="FF000000"/>
        <rFont val="Franklin Gothic Book"/>
        <family val="2"/>
      </rPr>
      <t xml:space="preserve">   </t>
    </r>
    <r>
      <rPr>
        <b/>
        <u/>
        <sz val="11"/>
        <color rgb="FF165B89"/>
        <rFont val="Franklin Gothic Book"/>
        <family val="2"/>
      </rPr>
      <t>www.eiti.org</t>
    </r>
  </si>
  <si>
    <t>Country or area</t>
  </si>
  <si>
    <r>
      <t xml:space="preserve">Address: </t>
    </r>
    <r>
      <rPr>
        <b/>
        <sz val="11"/>
        <color rgb="FF165B89"/>
        <rFont val="Franklin Gothic Book"/>
        <family val="2"/>
      </rPr>
      <t>Rådhusgata 26, 0151 Oslo, Norway</t>
    </r>
    <r>
      <rPr>
        <b/>
        <sz val="11"/>
        <color rgb="FF000000"/>
        <rFont val="Franklin Gothic Book"/>
        <family val="2"/>
      </rPr>
      <t xml:space="preserve">  </t>
    </r>
  </si>
  <si>
    <r>
      <rPr>
        <b/>
        <sz val="10"/>
        <color rgb="FF000000"/>
        <rFont val="Franklin Gothic Book"/>
        <family val="2"/>
      </rPr>
      <t xml:space="preserve">Part 1 (About) </t>
    </r>
    <r>
      <rPr>
        <sz val="10"/>
        <color rgb="FF000000"/>
        <rFont val="Franklin Gothic Book"/>
        <family val="2"/>
      </rPr>
      <t>covers country and data characteristics.</t>
    </r>
  </si>
  <si>
    <t>How to complete this sheet:</t>
  </si>
  <si>
    <r>
      <t xml:space="preserve">1. Starting from the top, </t>
    </r>
    <r>
      <rPr>
        <b/>
        <i/>
        <sz val="10"/>
        <rFont val="Franklin Gothic Book"/>
        <family val="2"/>
      </rPr>
      <t xml:space="preserve">enter your responses in the grey column. </t>
    </r>
  </si>
  <si>
    <t xml:space="preserve">2. Please respond to each question, until completed. </t>
  </si>
  <si>
    <r>
      <t xml:space="preserve">3. Include any additional information or comments as needed in the </t>
    </r>
    <r>
      <rPr>
        <b/>
        <i/>
        <sz val="10"/>
        <color theme="1"/>
        <rFont val="Franklin Gothic Book"/>
        <family val="2"/>
      </rPr>
      <t xml:space="preserve">Source/Comments" </t>
    </r>
    <r>
      <rPr>
        <i/>
        <sz val="10"/>
        <color theme="1"/>
        <rFont val="Franklin Gothic Book"/>
        <family val="2"/>
      </rPr>
      <t>column.</t>
    </r>
  </si>
  <si>
    <t>If you have any questions, please contact your country manager at the EITI International Secretariat.</t>
  </si>
  <si>
    <t>Cells in orange must be completed</t>
  </si>
  <si>
    <t>Cells in light blue are for voluntary input</t>
  </si>
  <si>
    <t xml:space="preserve">Part 1 - About </t>
  </si>
  <si>
    <t>Description</t>
  </si>
  <si>
    <t>Enter data in this column</t>
  </si>
  <si>
    <t>Source / Comments</t>
  </si>
  <si>
    <t>Country or area name</t>
  </si>
  <si>
    <t>Papua New Guinea</t>
  </si>
  <si>
    <t>ISO Alpha-3 Code</t>
  </si>
  <si>
    <t>PNG</t>
  </si>
  <si>
    <t>National currency name</t>
  </si>
  <si>
    <t>PNG Kina</t>
  </si>
  <si>
    <t>National currency ISO-4217</t>
  </si>
  <si>
    <t>PGK</t>
  </si>
  <si>
    <t>Fiscal year covered by this data file</t>
  </si>
  <si>
    <t>Start Date</t>
  </si>
  <si>
    <t>End Date</t>
  </si>
  <si>
    <t>Data source</t>
  </si>
  <si>
    <t>Has an EITI Report been prepared by an Independent Administrator?</t>
  </si>
  <si>
    <t>Yes</t>
  </si>
  <si>
    <t>What is the name of the company?</t>
  </si>
  <si>
    <t>Ernst &amp; Young</t>
  </si>
  <si>
    <t>Date that the EITI Report was made public</t>
  </si>
  <si>
    <t>URL, EITI Report</t>
  </si>
  <si>
    <t>https://eiti.org/reports/</t>
  </si>
  <si>
    <t>Does the government systematically disclose EITI data at a single location?</t>
  </si>
  <si>
    <t>Publication date of the EITI data</t>
  </si>
  <si>
    <t>Website link (URL) to EITI data</t>
  </si>
  <si>
    <t>http://www.pngeiti.org.pg</t>
  </si>
  <si>
    <t>Are there other files of relevance?</t>
  </si>
  <si>
    <t>Date that other file was made public</t>
  </si>
  <si>
    <t>URL</t>
  </si>
  <si>
    <r>
      <t>EITI Requirement 7.2</t>
    </r>
    <r>
      <rPr>
        <b/>
        <sz val="10"/>
        <rFont val="Franklin Gothic Book"/>
        <family val="2"/>
      </rPr>
      <t>: Data accessibility and open data</t>
    </r>
  </si>
  <si>
    <t>Does the government have an open data policy?</t>
  </si>
  <si>
    <t>Yes, through EITI Reporting</t>
  </si>
  <si>
    <t>Data coverage / scope</t>
  </si>
  <si>
    <t>Open data portal / files</t>
  </si>
  <si>
    <t>http://www.pngeiti.org.pg/wp-content/uploads/2018/04/PNG-Open-Data-Policy-and-Framework.pdf</t>
  </si>
  <si>
    <t>Sector coverage</t>
  </si>
  <si>
    <t>Oil</t>
  </si>
  <si>
    <t>Gas</t>
  </si>
  <si>
    <t>Mining (incl. Quarrying)</t>
  </si>
  <si>
    <t>Other, non-upstream sectors</t>
  </si>
  <si>
    <t>No</t>
  </si>
  <si>
    <t>If yes, please specify name (insert new rows if multiple)</t>
  </si>
  <si>
    <t>&lt; Other sector &gt;</t>
  </si>
  <si>
    <t>Number of reporting government entities (incl SOEs if recipient)</t>
  </si>
  <si>
    <t>Number of reporting companies (incl SOEs if payer)</t>
  </si>
  <si>
    <r>
      <rPr>
        <i/>
        <sz val="10"/>
        <rFont val="Franklin Gothic Book"/>
        <family val="2"/>
      </rPr>
      <t>Reporting currency (</t>
    </r>
    <r>
      <rPr>
        <i/>
        <sz val="10"/>
        <color theme="10"/>
        <rFont val="Franklin Gothic Book"/>
        <family val="2"/>
      </rPr>
      <t>ISO-4217 currency codes</t>
    </r>
    <r>
      <rPr>
        <i/>
        <sz val="10"/>
        <rFont val="Franklin Gothic Book"/>
        <family val="2"/>
      </rPr>
      <t>)</t>
    </r>
  </si>
  <si>
    <t xml:space="preserve">Exchange rate used: 1 USD = </t>
  </si>
  <si>
    <t>Exchange rate source (URL,…)</t>
  </si>
  <si>
    <t>https://www.bankpng.gov.pg/historical-exchange-rates/</t>
  </si>
  <si>
    <r>
      <t>EITI Requirement 4.7</t>
    </r>
    <r>
      <rPr>
        <b/>
        <sz val="10"/>
        <rFont val="Franklin Gothic Book"/>
        <family val="2"/>
      </rPr>
      <t>: Disaggregation</t>
    </r>
  </si>
  <si>
    <t>… by revenue stream</t>
  </si>
  <si>
    <t>… by government agency</t>
  </si>
  <si>
    <t>… by company</t>
  </si>
  <si>
    <t>… by project</t>
  </si>
  <si>
    <t>Contact details: data submission</t>
  </si>
  <si>
    <t>Name and contact information of the person submitting this file</t>
  </si>
  <si>
    <t>Name</t>
  </si>
  <si>
    <t>Organisation</t>
  </si>
  <si>
    <t>Email address</t>
  </si>
  <si>
    <r>
      <t xml:space="preserve">Phone: </t>
    </r>
    <r>
      <rPr>
        <b/>
        <sz val="10"/>
        <color rgb="FF165B89"/>
        <rFont val="Franklin Gothic Book"/>
        <family val="2"/>
      </rPr>
      <t>+47 222 00 800</t>
    </r>
    <r>
      <rPr>
        <b/>
        <sz val="10"/>
        <color rgb="FF000000"/>
        <rFont val="Franklin Gothic Book"/>
        <family val="2"/>
      </rPr>
      <t xml:space="preserve">   </t>
    </r>
    <r>
      <rPr>
        <b/>
        <sz val="10"/>
        <color rgb="FF000000"/>
        <rFont val="Wingdings"/>
        <charset val="2"/>
      </rPr>
      <t></t>
    </r>
    <r>
      <rPr>
        <b/>
        <sz val="10"/>
        <color rgb="FF000000"/>
        <rFont val="Franklin Gothic Book"/>
        <family val="2"/>
      </rPr>
      <t xml:space="preserve">   E-mail: </t>
    </r>
    <r>
      <rPr>
        <b/>
        <u/>
        <sz val="10"/>
        <color rgb="FF165B89"/>
        <rFont val="Franklin Gothic Book"/>
        <family val="2"/>
      </rPr>
      <t>secretariat@eiti.org</t>
    </r>
    <r>
      <rPr>
        <b/>
        <sz val="10"/>
        <color rgb="FF000000"/>
        <rFont val="Franklin Gothic Book"/>
        <family val="2"/>
      </rPr>
      <t xml:space="preserve">   </t>
    </r>
    <r>
      <rPr>
        <b/>
        <sz val="10"/>
        <color rgb="FF000000"/>
        <rFont val="Wingdings"/>
        <charset val="2"/>
      </rPr>
      <t></t>
    </r>
    <r>
      <rPr>
        <b/>
        <sz val="10"/>
        <color rgb="FF000000"/>
        <rFont val="Franklin Gothic Book"/>
        <family val="2"/>
      </rPr>
      <t xml:space="preserve">   Twitter: </t>
    </r>
    <r>
      <rPr>
        <b/>
        <sz val="10"/>
        <color rgb="FF165B89"/>
        <rFont val="Franklin Gothic Book"/>
        <family val="2"/>
      </rPr>
      <t>@EITIorg</t>
    </r>
    <r>
      <rPr>
        <b/>
        <sz val="10"/>
        <color rgb="FF000000"/>
        <rFont val="Franklin Gothic Book"/>
        <family val="2"/>
      </rPr>
      <t xml:space="preserve">  </t>
    </r>
    <r>
      <rPr>
        <b/>
        <sz val="10"/>
        <color rgb="FF000000"/>
        <rFont val="Wingdings"/>
        <charset val="2"/>
      </rPr>
      <t xml:space="preserve"> </t>
    </r>
    <r>
      <rPr>
        <b/>
        <sz val="10"/>
        <color rgb="FF000000"/>
        <rFont val="Franklin Gothic Book"/>
        <family val="2"/>
      </rPr>
      <t xml:space="preserve">   </t>
    </r>
    <r>
      <rPr>
        <b/>
        <u/>
        <sz val="10"/>
        <color rgb="FF165B89"/>
        <rFont val="Franklin Gothic Book"/>
        <family val="2"/>
      </rPr>
      <t>www.eiti.org</t>
    </r>
  </si>
  <si>
    <r>
      <t xml:space="preserve">Address: </t>
    </r>
    <r>
      <rPr>
        <b/>
        <sz val="10"/>
        <color rgb="FF165B89"/>
        <rFont val="Franklin Gothic Book"/>
        <family val="2"/>
      </rPr>
      <t>Rådhusgata 26, 0151 Oslo, Norway</t>
    </r>
    <r>
      <rPr>
        <b/>
        <sz val="10"/>
        <color rgb="FF000000"/>
        <rFont val="Franklin Gothic Book"/>
        <family val="2"/>
      </rPr>
      <t xml:space="preserve">  </t>
    </r>
  </si>
  <si>
    <t>Requirement 2.1: Legal framework</t>
  </si>
  <si>
    <t>Objective of Requirement 2.1</t>
  </si>
  <si>
    <t>Progress towards the objective of the requirement, to ensure public understanding of all aspects of the regulatory framework for the extractive industries, including the legal framework, fiscal regime, roles of government entities and reforms.</t>
  </si>
  <si>
    <t>Not applicable /Not met / Partly met / Mostly met / Fully met / Exceeded</t>
  </si>
  <si>
    <t>Requirement</t>
  </si>
  <si>
    <t>How is this disclosed?</t>
  </si>
  <si>
    <t>Where is this systematically disclosed?</t>
  </si>
  <si>
    <t>Where is this disclosed in the EITI Report?</t>
  </si>
  <si>
    <t>Gaps or weaknesses in comprehensiveness, data quality, disaggregation and accessibility identified (by MSG, IA, others)</t>
  </si>
  <si>
    <t xml:space="preserve">International Secretariat review and preliminary assessment </t>
  </si>
  <si>
    <t>International Secretariat questions to MSG</t>
  </si>
  <si>
    <t>MSG responses to International Secretariat questions</t>
  </si>
  <si>
    <t xml:space="preserve">International Secretariat final assessment </t>
  </si>
  <si>
    <t>Mining sector</t>
  </si>
  <si>
    <t>Does the government publish information about</t>
  </si>
  <si>
    <t>Laws and regulations?</t>
  </si>
  <si>
    <t>Systematically disclosed and EITI Reporting</t>
  </si>
  <si>
    <t>http://www.paclii.org/pg/legis/consol_act/ma199281.pdf</t>
  </si>
  <si>
    <t>7th PNG EITI Report, pp.59-69</t>
  </si>
  <si>
    <t xml:space="preserve">No specific question to the MSG </t>
  </si>
  <si>
    <t xml:space="preserve">In page 126, FY 2019 report states about the mining regulation (MRA Act 2015 and updated in 2018). However the link provided to access the regulation cannot be open. List of regulations on mining sector is available in FY 2019 report page 63.   </t>
  </si>
  <si>
    <t xml:space="preserve">The link provided https://mra.gov.pg/Regulations.aspx cannot be open </t>
  </si>
  <si>
    <t>Overview of government agencies' roles?</t>
  </si>
  <si>
    <t>EITI Reporting</t>
  </si>
  <si>
    <t>7th PNG EITI Report, pp. 38</t>
  </si>
  <si>
    <t>There is description the roles of government agencies such as MRA and DPE in different parts of the report.  
Specifically, information on reporting government entities is available in Chapter 2.4, Table 12 and Table 13. (Page 38)</t>
  </si>
  <si>
    <t>Mineral and petroleum rights' regime?</t>
  </si>
  <si>
    <t xml:space="preserve">Types of mining licenses are available in chapter 7.9 (page 127).  There is also description about resource development agreements in chapter 4.12 (page 65). </t>
  </si>
  <si>
    <t>Clarify with MSG if resource development agreements are publicly disclosed? If they are where can we access them?</t>
  </si>
  <si>
    <t>Fiscal regime?</t>
  </si>
  <si>
    <t>http://taxreview.gov.pg/wp-content/uploads/2014/08/14.08.08_mpt.submission_department.mineral.policy.pdf</t>
  </si>
  <si>
    <t xml:space="preserve">Mining fiscal regime is available in PNG mining fiscal regime 2014 and systematically disclosed </t>
  </si>
  <si>
    <t>https://petroleum.gov.pg/wp-content/uploads/2020/02/PNG-Petroleum-Policy-Handbook.pdf</t>
  </si>
  <si>
    <t>Level of fiscal devolution?</t>
  </si>
  <si>
    <t>7th PNG EITI Report, pp.59-63</t>
  </si>
  <si>
    <t>Description about subnational payments and transfers are available in chapter 6 especially 6.2.1 (page 80-83) (subnational payments and transfers for mining). MRDC facilitates subnational transfers as the trustee of interests in extractive projects on behalf of subnational governments and landowner group. However the report also notes that information relating subnational payment is difficult to obtain and reconcile due to the lack of record-keeping by provincial governments (page 80)</t>
  </si>
  <si>
    <t>Clarify with MSG what they mean by fiscal devolution. In page 59-62 (as they refer to) contains information about different types of taxes rather than fiscal devolution (basically about the fiscal relation between national government and subnational governments).</t>
  </si>
  <si>
    <t>Ongoing and planned reforms?</t>
  </si>
  <si>
    <t>http://taxreview.gov.pg/</t>
  </si>
  <si>
    <t>7th PNG EITI Report, pp.60</t>
  </si>
  <si>
    <t>Information about reforms to the budget process is available in chapter 5.3 (page 74). The budget reforms have been supported by guidance documents such as the Budget Management Framework, introduced for the 2016 budget, and a network of technical officers to disseminate information and provide a forum for open communication between agencies. On 5 December 2017, the PNG National Parliament passed the Public Money Management Regularisation Act, which aims to analyze how public money is managed in PNG. It specifically targets public and statutory bodies that are raising and retaining public funds directly (relevant with QFEs), rather than through the Consolidated Revenue Fund. Since 1 January 2020, PNG public and statutory bodies only receive public money by appropriations made by, or under the National Budget</t>
  </si>
  <si>
    <t xml:space="preserve">Clarify with MSG why they refer to the PNG tax review website and how this is relevant with the question on the ongoing reforms. Also clarify with MSG how Public Money Management Act 2017 has an impact on Trustee like MRDC and SOEs such as Kumul Mineral Holdings which historically retaining public funds and made direct payments to subnational entities    </t>
  </si>
  <si>
    <t>Oil and gas sector</t>
  </si>
  <si>
    <t>7th PNG EITI Report, pp.59-65</t>
  </si>
  <si>
    <t>The petroleum industry in PNG is governed by the Oil and Gas Act 1998 (OGA) with amendments stated
in the Oil and Gas (Amendment) Act 2016 and the Oil and Gas Regulation 2002 under the administration
and management of the Department of Petroleum (DPE), headed by the Minister for Petroleum and
Energy (FY 2019 report page 65)</t>
  </si>
  <si>
    <t xml:space="preserve">The link provided is Mining Act 1992. Clarify with MSG to change this to relevant law on petroleum </t>
  </si>
  <si>
    <t>The FY 2019 report provides other relevant regulations related to petroleum sector such as Unconventional Hydrocarbon Act 2015 and resource development agreements (page 65)</t>
  </si>
  <si>
    <t xml:space="preserve">Clarify with MSG if resource development agreements are publicly disclosed? If they are where we can access them? </t>
  </si>
  <si>
    <t>7th PNG EITI Report, pp.65</t>
  </si>
  <si>
    <t xml:space="preserve">Types of petroleum licenses available chapter 8.1 (page 132) based on the oil and gas act 1998. </t>
  </si>
  <si>
    <t>7th PNG EITI Report, pp.69</t>
  </si>
  <si>
    <t xml:space="preserve">PNG petroleum fiscal regime is available in Petroleum Policy Handbook 2005 and systematically disclosed </t>
  </si>
  <si>
    <t>MSG need to include the relevant link to Petroleum Policy Handbook 2005  https://petroleum.gov.pg/wp-content/uploads/2020/02/PNG-Petroleum-Policy-Handbook.pdf</t>
  </si>
  <si>
    <t xml:space="preserve">Description about subnational payments and transfers for petroleum is available in Chapter 6.2.2 (page 83). These include royalty (2%), development levy (2%), equity, project grants, etc  </t>
  </si>
  <si>
    <t>Clarify with MSG what they mean by fiscal devolution. In page 59-63 (as they refer to) contains information about different types of taxes rather than fiscal devolution (basically about the fiscal relation between national government and subnational governments).</t>
  </si>
  <si>
    <t>7th EITI Report, pp.60</t>
  </si>
  <si>
    <t>Reforms on budget process is the same as for mining (See column L 15)</t>
  </si>
  <si>
    <t xml:space="preserve">Clarify with MSG why they refer to the PNG tax review website and how this is relevant with the question on the ongoing reforms. Also clarify with MSG how Public Money Management Act 2017 has an impact on Trustee such a MRDC and SOEs such as Kumul Petroleum Holdings which historically retaining public funds and made direct payments to subnational entities    </t>
  </si>
  <si>
    <t>Requirement 2.2: Contract and license allocations</t>
  </si>
  <si>
    <t>Objective of Requirement 2.2</t>
  </si>
  <si>
    <t>Progress towards the objective of the requirement, to provide a public overview of awards and transfers of oil, gas and mining licenses, the statutory procedures for license awards and transfers and whether tehse procedures are followed in practice. This can allow stakeholders to identify and address possible weaknesses in the license allocation process.</t>
  </si>
  <si>
    <t>Applicability of the Requirement</t>
  </si>
  <si>
    <t>Is Requirement 2.2 applicable in the period under review?</t>
  </si>
  <si>
    <t>No. of license awards for the covered year</t>
  </si>
  <si>
    <t>7th PNG EITI Report, pp. 213 - 223</t>
  </si>
  <si>
    <t>List of mining license holders are available in Appendix B (page 213-223)</t>
  </si>
  <si>
    <t xml:space="preserve">Clarify with the MSG if the list is comprehensive </t>
  </si>
  <si>
    <t>the award process(es)?</t>
  </si>
  <si>
    <t>Yes, Through EITI Reporting and Systematically</t>
  </si>
  <si>
    <t>https://actnowpng.org/sites/default/files/1.%20Mining%20Act%201992.pdf</t>
  </si>
  <si>
    <t>7th PNG EITI Report, pp. 127 - 130</t>
  </si>
  <si>
    <t xml:space="preserve">The process of awarding mining license is described in page 127 of FY 2019 report.The report provide link to the MRA website  MRA https://mra.gov.pg/License – Mineral Resources Authority of PNG and stated that the website includes information on the different types of tenements and the application process, including a step-by-step flow chart outlining the process, fees and minimum expenditures. The same report states that license award is granted by MRA with clear, detailed and consistent criteria, not through a bidding process. </t>
  </si>
  <si>
    <t xml:space="preserve">Clarify with the MSG if the technical and financial criteria in part V of the mining act are consistently used and if they are published during the licensing award process </t>
  </si>
  <si>
    <t>and the technical and financial criteria used?</t>
  </si>
  <si>
    <t>7th PNG EITI Report, pp. 127</t>
  </si>
  <si>
    <t xml:space="preserve">The report (page 127) refers to technical and financial criteria in part V of the mining Act.  However, as described in section 24-26 of the Mining Act these criteria are very general. </t>
  </si>
  <si>
    <t>Need to clarify with MSG if the MRA has specific technical and financial criteria for each project, and how these financial and technical criteria are used and if they are published during licensing award process</t>
  </si>
  <si>
    <t>the existence of any non-trivial deviations from statutory procedures in license awards in the period under review?</t>
  </si>
  <si>
    <t>&lt; EITI reporting or systematically disclosed? &gt;</t>
  </si>
  <si>
    <t>7th PNG EITI Report, pp. 126 - 129</t>
  </si>
  <si>
    <r>
      <t xml:space="preserve"> The report (page 153) state that </t>
    </r>
    <r>
      <rPr>
        <i/>
        <sz val="10"/>
        <rFont val="Franklin Gothic Book"/>
        <family val="2"/>
      </rPr>
      <t>“development agreements allow for deviations from the legal and regulatory agreement, with this information being included in official gazettes (statutory instruments)”. </t>
    </r>
    <r>
      <rPr>
        <sz val="10"/>
        <rFont val="Franklin Gothic Book"/>
        <family val="2"/>
      </rPr>
      <t> However, there is no information about agreements or deviations provided in the report.  </t>
    </r>
  </si>
  <si>
    <t>Clarify with the MSG if there is any non-trivial deviations from relevant laws and regulations in mining license award from 2018-2021</t>
  </si>
  <si>
    <t>No. of license transfers for the covered year</t>
  </si>
  <si>
    <t>7th PNG EITI Report, pp. 130</t>
  </si>
  <si>
    <t xml:space="preserve">MRA states that there is no  transfer of mining licence during the period covered in the FY 2019 report (page 130). Appendix B of FY  2019 also does not contain mining license transfers . </t>
  </si>
  <si>
    <t xml:space="preserve"> Double check if there is really no transfer of mining license from 2018-2021? Assuming that there is, clarify with MSG about the transfer process both by rule and by practice</t>
  </si>
  <si>
    <t>the number and identity of licenses transferred in the period under review?</t>
  </si>
  <si>
    <t xml:space="preserve">As above no license transfers </t>
  </si>
  <si>
    <t>As above</t>
  </si>
  <si>
    <t>the transfer process(es)?</t>
  </si>
  <si>
    <t>7th PNG EITI Report, pp. 129 - 130</t>
  </si>
  <si>
    <t>No information about this in FY 2019 report</t>
  </si>
  <si>
    <t xml:space="preserve">Clarify with the MSG about license transfer process </t>
  </si>
  <si>
    <t xml:space="preserve">As above  </t>
  </si>
  <si>
    <t>As above (and ask if there is financial and technical criteria)</t>
  </si>
  <si>
    <t>the existence of any non-trivial deviations from statutory procedures in license transfers in the period under review?</t>
  </si>
  <si>
    <t>7th PNG EITI Report pp. 98, 126 - 127</t>
  </si>
  <si>
    <t>No  information about this in the FY 2019 report</t>
  </si>
  <si>
    <t>As above (ask if there is any non-trivial deviations from the law or regulation on mining license transfers)</t>
  </si>
  <si>
    <t>bidding rounds/process(es)?</t>
  </si>
  <si>
    <t>MSG comments on efficiency:</t>
  </si>
  <si>
    <t>Not Available</t>
  </si>
  <si>
    <t>7th PNG EITI Report, pp. 226 - 230</t>
  </si>
  <si>
    <t xml:space="preserve">Appendix D of FY 2019 report provides list of 2018 petroleum licenses. However there is no data for 2019 petroleum licensing because it is not provided by the DPE </t>
  </si>
  <si>
    <t>Clarify with the MSG if the list of petroleum licenses in Appendix D is comprehensive and if there is a rationale for DPE not providing data for 2019</t>
  </si>
  <si>
    <t>7th PNG EITI Report, pp. 152 - 153</t>
  </si>
  <si>
    <t xml:space="preserve">Petroleum license award process for the oil and gas is described in Figure 58 (Page152-153) and refers to the petroleum policy handbook 2005. The license is awarded on first come, first serve basis  </t>
  </si>
  <si>
    <t xml:space="preserve">Need to confirm with the MSG if the information on the petroleum award process has been comprehensive </t>
  </si>
  <si>
    <t>Financial and technical criteria refers to the petroleum policy handbook 2005 (Part 2.2.1 : Licensing, page 7) and also listed in the FY 2019 report page 152-153</t>
  </si>
  <si>
    <t>Need to clarify with MSG if DPE has specific technical and financial criteria for each project, and how these financial and technical criteria are used and if they are published during licensing award process</t>
  </si>
  <si>
    <t>7th PNG EITI Report, pp. 132 - 154</t>
  </si>
  <si>
    <t> The report (page 153) state that “development agreements allow for deviations from the legal and regulatory agreement, with this information being included in official gazettes (statutory instruments)”.  However, there is no information about agreements or deviations provided in the report.  </t>
  </si>
  <si>
    <t>Clarify with the MSG if there is any non-trivial deviations from relevant laws and regulations in petroleum license award from 2018-2021</t>
  </si>
  <si>
    <t>7th PNG EITI Report, pp. 230</t>
  </si>
  <si>
    <t>There are 3 petroleum license transfers stated in FY 2019 report (page 23) : PPL528, PRL28,PRL 40</t>
  </si>
  <si>
    <t xml:space="preserve">Confirm with the MSG if petroleum license transfer data in the FY 2019 report is comprehensive </t>
  </si>
  <si>
    <t>No information in the FY 2019 report</t>
  </si>
  <si>
    <t>Double check with the MSG if there are petroleum license transfers from 2018-2021</t>
  </si>
  <si>
    <t>https://petroleum.gov.pg/wp-content/uploads/2020/02/PNG-Oil-Gas-Regulations.pdf</t>
  </si>
  <si>
    <t>7th PNG EITI Report, pp. 154</t>
  </si>
  <si>
    <t>Transfer processes are outlined in the Oil and Gas Act section 97. Transfers are registered by DPE but are a commercial transaction between organisations to which DPE is not party; no criteria are applied by DPE. Exploration licences cannot be transferred for a period of two years from being granted (FY 2019 report, page 154). </t>
  </si>
  <si>
    <t xml:space="preserve">Clarify with MSG is the description about the transfer process in FY 2019 report is accurate. </t>
  </si>
  <si>
    <t xml:space="preserve">Since DPE treats license transfers as purely commercial, DPE is not party to it.  </t>
  </si>
  <si>
    <t>Clarify with MSG, if DPE is not party to the license transfer process including overseeing financial and technical capacity of the transferee, how DPE ensure that the respective transferee has technical and financial capacity to run the petroleum project? What is the contractual relation between DPE and the transferee?</t>
  </si>
  <si>
    <t xml:space="preserve">Clarify with MSG what specific information in page 132-154 of FY 2019 report that they are referring to. </t>
  </si>
  <si>
    <t>7th PNG EITI Report, pp. 153 - 154</t>
  </si>
  <si>
    <t xml:space="preserve">Clarify with MSG if there is information about this beyond FY 2019 report </t>
  </si>
  <si>
    <t>Requirement 2.3: License registers</t>
  </si>
  <si>
    <t>Objective of Requirement 2.3</t>
  </si>
  <si>
    <t>Progress towards the objective of the requirement, to ensure the public accessibility of comprehensive information on property rights related to extractive deposits and projects.</t>
  </si>
  <si>
    <t>License register for the mining sector</t>
  </si>
  <si>
    <t>Yes, in EITI Report &amp; systematically disclosed</t>
  </si>
  <si>
    <t>https://mra.gov.pg/regulatory/permitting/</t>
  </si>
  <si>
    <t>7th PNG EITI Report, pp.127</t>
  </si>
  <si>
    <t xml:space="preserve">It appears that the link provided is NOT the cadaster or register of licenses but for the application of mining permiting. PNG mining cadaster portal is available here https://portal.mra.gov.pg/Site/MapPage.aspx?PageID=e735c534-5f4e-4b2b-a544-89b90357e0f1  </t>
  </si>
  <si>
    <t>Clarify with MSG if the link provided is accurate. Also clarify with the MSG if the PNG mining cadaster portal contain all information required under EITI standard 2.3</t>
  </si>
  <si>
    <t xml:space="preserve">License-holder name: </t>
  </si>
  <si>
    <t>7th PNG EITI Report, pp.126 - 127</t>
  </si>
  <si>
    <t>PNG mining cadaster portal has information about license holders, for instance : License EL 2634, Pacific Porphyry Limited (100% ownership), etc</t>
  </si>
  <si>
    <t xml:space="preserve">License coordinates: </t>
  </si>
  <si>
    <t>7th PNG EITI Report,  pp.127</t>
  </si>
  <si>
    <t xml:space="preserve">PNG mining cadaster portal has information about the license coordinates. For instance, License EL2738 is located at 16°57'39" S  150°29'12" E </t>
  </si>
  <si>
    <t xml:space="preserve">Check if all licenses in the cadastre has info on coordinates. </t>
  </si>
  <si>
    <t xml:space="preserve">License dates of application, award and expiry: </t>
  </si>
  <si>
    <t>7th PNG EITI Report, pp.127 - 129 and Appendix B, pp.213</t>
  </si>
  <si>
    <t xml:space="preserve">PNG mining cadaster porta has information about license dates of application, award and expiry for some projects such as EL1390 (Oro Nickel Limited) but not all (for instance License EL 2722 only has application data but no information on award and expiry data). It means the information is not comprehensive and consistent for all projects </t>
  </si>
  <si>
    <t xml:space="preserve">Clarify with MSG about comprehensiveness and consistency of information provided in the portal with regard to application date, award and expiry date </t>
  </si>
  <si>
    <t>Commodity(ies) covered by licenses:</t>
  </si>
  <si>
    <t>Yes, in EITI Report</t>
  </si>
  <si>
    <t>7th PNG EITI Report, pp.124 - 125 (Table: 84)</t>
  </si>
  <si>
    <t>Table 84 (page 124-125) provides list of commodities based on project</t>
  </si>
  <si>
    <t xml:space="preserve">Double check with the MSG how comprehensive is the list </t>
  </si>
  <si>
    <t>Coverage of all active licenses?</t>
  </si>
  <si>
    <t>PNG mining cadaster https://portal.mra.gov.pg/Site/MapPage.aspx?PageID=e735c534-5f4e-4b2b-a544-89b90357e0f1 contains list of active mining licenses. Information of the list of mining licenses is also available in Appendix B</t>
  </si>
  <si>
    <t xml:space="preserve">Double check with the MSG how comprehensive is the list of active mining license in the PNG Mining Portal and Appendix B of the FY 2019 report </t>
  </si>
  <si>
    <t>Coverage of all licenses held by material companies?</t>
  </si>
  <si>
    <t>No information about this</t>
  </si>
  <si>
    <t xml:space="preserve">Clarify with the MSG what information they are referring to in page 127 of the FY 2019 report </t>
  </si>
  <si>
    <t>License register for petroleum sector</t>
  </si>
  <si>
    <t>https://petroleum.gov.pg/licensing/</t>
  </si>
  <si>
    <t>7th PNG EITI Report, pp. 132, 151 - 152 (Table 101) and Appendix D,  pp. 226-p230</t>
  </si>
  <si>
    <t xml:space="preserve">The register is maintained by DPE but not available online. Appendix D of the FY 2019 report provide a list of active petroleum licenses. Appendix E of the same report provide a map of petroleum tenements but it is difficult to read (letters are too small) </t>
  </si>
  <si>
    <t xml:space="preserve">Clarify with MSG to provide a readable map of petroleum tenements. The license register's list of existing license has patchy/varying information. Not all has information on coordinates/maps, no information on licesen hodlers </t>
  </si>
  <si>
    <t>7th PNG EITI Report, pp.132,  151</t>
  </si>
  <si>
    <t xml:space="preserve">Information on the petroleum license holders is avaiable in Appendix D of the FY 2019 EITI report. However there is no data for 2019 petroleum license  </t>
  </si>
  <si>
    <t xml:space="preserve">Clarify with the MSG if the information is comprehensive </t>
  </si>
  <si>
    <t>http://www.pngchamberminpet.com.pg/our-resource-industry/petroleum</t>
  </si>
  <si>
    <t>7th PNG EITI Report, pp.132, p134, p140 &amp; p231 (Appendix E)</t>
  </si>
  <si>
    <t xml:space="preserve">No information about the petroleum license coordinates in FY 2019 report. Appendix E is too small to read therefore we cannot say if the map contains the coordinates </t>
  </si>
  <si>
    <t xml:space="preserve">Clarify with the MSG if there is clear license coordinates provided in this link http://www.pngchamberminpet.com.pg/our-resource-industry/petroleum </t>
  </si>
  <si>
    <t xml:space="preserve">7th PNG EITI Report, pp.152 - p154 </t>
  </si>
  <si>
    <t>Appendix D only has award and expiry date. No application date</t>
  </si>
  <si>
    <t xml:space="preserve">Clarify with MSG about this data gap </t>
  </si>
  <si>
    <t>7th PNG EITI Report, pp. 149 (Table: 98) and  pp.150 (Table: 99)</t>
  </si>
  <si>
    <t>Commodities : oil and gas and this is available in Figure 44 of FY 2019 report (page 150)</t>
  </si>
  <si>
    <t>7th EITI PNG Report,  pp.133</t>
  </si>
  <si>
    <t xml:space="preserve">Page 133 of FY 2019 describes active oil and gas active companies but not their licenses.  Appendix D provides a list of active petroleum licenses for 2018. Data on 2019 is not available </t>
  </si>
  <si>
    <t xml:space="preserve">Clarify with MSG about comprehensiveness of the list </t>
  </si>
  <si>
    <t>7th PNG EITI Report,  pp.133</t>
  </si>
  <si>
    <t xml:space="preserve">No  information about this in the FY 2019 report </t>
  </si>
  <si>
    <t xml:space="preserve">Clarify with MSG if there is any information available on this </t>
  </si>
  <si>
    <t>Requirement 2.4: Contracts</t>
  </si>
  <si>
    <t>Objective of Requirement 2.4</t>
  </si>
  <si>
    <t>Progress towards the objective of the requirement, to ensure the public accessibility of all licenses and contracts underpinning extractive activities (at least from 2021 onwards) as a basis for the public’s understanding of the contractual rights and obligations of companies operating in the country’s extractive industries.</t>
  </si>
  <si>
    <t>Government policy on contract disclosure</t>
  </si>
  <si>
    <t>7th PNG EITI Report, pp.66</t>
  </si>
  <si>
    <t>Data availability on PNG Government web portals for licences are still insufficient. There was progress observed on MRA cadastre portal and DPE is starting to digitise oil and gas licence data. However, this is not fully upadate</t>
  </si>
  <si>
    <t> As stated in chapter 4.16 (page 67) there is no legislation supporting disclosure of contracts or licenses. EITI PNG sent templates related to contracts and licenses to reporting entities (both companies and government) to fill out but none of these entities return the template. Therefore, there is no list of mining, oil and gas contracts disclosed in FY 2019 report.   </t>
  </si>
  <si>
    <t xml:space="preserve">Clarify with MSG how they will implement recommendations from the contract transparency study produced in January 2022 particularly related to addresing the legal barrier for disclosing contracts </t>
  </si>
  <si>
    <t>For contracts executed after 1 January 2021: Are contracts texts  including annexes and amendments  fully disclosed?</t>
  </si>
  <si>
    <t>No contract and licenses are publicly disclosed.</t>
  </si>
  <si>
    <t>Clarify with MSG how they will implement recommendations and proposed roadmap from the contract transparency study produced in January 2022</t>
  </si>
  <si>
    <t>For licenses executed after 1 January 2021 Are license texts including annexes and amendments  fully disclosed?</t>
  </si>
  <si>
    <t>Contract register for mining sector</t>
  </si>
  <si>
    <t>Not available</t>
  </si>
  <si>
    <t>Contract register for petroleum sector</t>
  </si>
  <si>
    <t>Contract register for other sector(s) - add rows if several</t>
  </si>
  <si>
    <t xml:space="preserve">Is there a publicly accessible list of all active exploitation and exploration contracts? </t>
  </si>
  <si>
    <t xml:space="preserve">List of active mining license is available online on PNG mining register and Appendix B of the FY 2019 report </t>
  </si>
  <si>
    <t>Clarify with MSG about the comprehensiveness of the list</t>
  </si>
  <si>
    <t xml:space="preserve">Are there contracts/licenses executed before 1 January 2021, that are publicly disclosed? </t>
  </si>
  <si>
    <t>There is no online registry for active petroleum licenses. Appendix D of the FY 2019 provide a list of active petroleum license for 2018. No data for 2019.</t>
  </si>
  <si>
    <t>Requirement 2.5: Beneficial ownership</t>
  </si>
  <si>
    <t>Objective of Requirement 2.5</t>
  </si>
  <si>
    <t>Progress towards the objective of the requirement, to enable the public to know who ultimately owns and controls the companies operating in the country’s extractive industries, particularly those identified by the MSG as high-risk, to help deter improper practices in the management of extractive resources.</t>
  </si>
  <si>
    <t>Government policy on beneficial ownership</t>
  </si>
  <si>
    <t>Yes, systematically disclosed</t>
  </si>
  <si>
    <t>http://www.pngeiti.org.pg/wp-content/uploads/2020/12/BDO_PNG-EITI-BO-Report-Final-version-20-12-20.pdf</t>
  </si>
  <si>
    <t>7th PNG EITI Report pp. 68</t>
  </si>
  <si>
    <t xml:space="preserve">There is progress made through the PNG Beneficial Ownership Report which was published in December 2020. The report sets out key deficiencies and observations as well as challenges faced by reporting entities in gathering data. The MSG and PNG National Secretariate needs to  address the observations and review the action plan. </t>
  </si>
  <si>
    <t xml:space="preserve"> Legal challenge with PNG is that relevant laws such as Companies Act 2014, Mining Act 1992 and Oil and Gas Act 1998 only recognises legal ownership of companies not the beneficial owners. There is a plan by Investment Promotion Authority (IPA) to establish a register but most likely it will be in line with the laws above.  
Definition of beneficial ownership so far has been done by PNG EITI. However as reflected in the ownership structure of companies available in chapter 7 and 8 of FY 2019 report they are basically shareholders structure (legal ownership) rather than beneficial ownership structure.  There are only 3 BO ID identified as natural person. 
The FY 2019 report, however, has provided a good start by investigating the shareholder structure of companies publicly listed in Australian stock exchange, Hongkong stock exchange, Toronto stock exchange (Canada), South Africa Stock Exchange and others. Further investigation about the BO disclosure practice in these stock exchanges will be useful to shed light on the beneficial owners of mining and petroleum companies operating in PNG.   </t>
  </si>
  <si>
    <t xml:space="preserve">Clarify with MSG if there are plans to continue working on the improvement of BO data disclosure incl. Addressing legal challenge, impoving BO data quality, etc  </t>
  </si>
  <si>
    <t>Definition of the term beneficial owner</t>
  </si>
  <si>
    <t xml:space="preserve">The MSG has defined the following in the context of PNG.  Beneficial ownership: 1.  Politically exposed person(s), in line with the Anti-Money Laundering and Counter Terrorist Financing Act 2015; 2. A materiality threshold for beneficial ownership, set at 5%, but which also considers the corporate structure of the companies operating in the country, an individual’s full aggregated interest as well as different means of exercising ownership and control. Detail definition agreed by the MSG is available in the Beneficial Ownership (BO) Report Recommendations page 6.  http://www.pngeiti.org.pg/wp-content/uploads/2020/12/BDO_PNG-EITI-BO-Report-Final-version-20-12-20.pdf </t>
  </si>
  <si>
    <t xml:space="preserve">Clarify with MSG  how this definition is taken onboard by other government agencies </t>
  </si>
  <si>
    <t>Laws, regulations or policies on beneficial ownership</t>
  </si>
  <si>
    <t>No laws and regulations on Beneficial Ownwership</t>
  </si>
  <si>
    <t>Is beneficial ownership data requested?</t>
  </si>
  <si>
    <t>Yes, in EITI Reprt</t>
  </si>
  <si>
    <t>7th PNG EITI Report, pp.68 notes that MSG commissioned a scoping study completed in 2016 and a roadmap was published in 2017. The roadmap included a costed work plan from 2017 to 2019. The Beneficial Ownership Disclosure Report was published in December 2020</t>
  </si>
  <si>
    <r>
      <t>The EITI 2019 report states in page 68 that: “</t>
    </r>
    <r>
      <rPr>
        <i/>
        <sz val="10"/>
        <rFont val="Franklin Gothic Book"/>
        <family val="2"/>
      </rPr>
      <t>A template has been developed to capture beneficial ownership information at the point at which companies are registered with the Investment Promotion Authority (IPA), and this will be piloted with future company registrations. Additionally, a pilot project was recently undertaken to make beneficial ownership maps searchable on an online portal open to the public”. </t>
    </r>
    <r>
      <rPr>
        <sz val="10"/>
        <rFont val="Franklin Gothic Book"/>
        <family val="2"/>
      </rPr>
      <t> However, the report does not provide web link to the online portal mentioned above therefore it is impossible to assess if the information about beneficial owners’ nationality, country of residence, etc is available. </t>
    </r>
  </si>
  <si>
    <t>Clarify with MSG if they send templates to companies to fill out BO data or of BO data are now submitted to IPA</t>
  </si>
  <si>
    <t>Is beneficial ownership data disclosed?</t>
  </si>
  <si>
    <t xml:space="preserve">Yes </t>
  </si>
  <si>
    <t>Word template_Portrait_global_160517 (pngeiti.org.pg)</t>
  </si>
  <si>
    <t> Information disclosed in EITI report 2019 chapter 7 and 8 are shareholder structure and there is no information about the natural person who ultimately owned these companies as internationally defined as BO.   </t>
  </si>
  <si>
    <t>Is beneficial ownership data disclosed by applicants and bidders?</t>
  </si>
  <si>
    <t xml:space="preserve">No information about this in FY 2019 report </t>
  </si>
  <si>
    <t xml:space="preserve">Clarify with MSG if the BO information is provided by license applicants </t>
  </si>
  <si>
    <t>MSG assessment of disclosures</t>
  </si>
  <si>
    <t>7th PNG EITI Report, pp. 68</t>
  </si>
  <si>
    <t>The MSG assessment is available in this report http://www.pngeiti.org.pg/wp-content/uploads/2021/06/PNGEITI-BO-Report.pdf</t>
  </si>
  <si>
    <t>Quality assurances for data reliability</t>
  </si>
  <si>
    <t>No information about this in  FY 2019 report however this report http://www.pngeiti.org.pg/wp-content/uploads/2021/06/PNGEITI-BO-Report.pdf provide BO data assurance mechanism in page 9-10</t>
  </si>
  <si>
    <t xml:space="preserve">Clarify with MSG if this data assurance mechanim has been used by IPA and EITI PNG during the preparation of FY 2019 report </t>
  </si>
  <si>
    <t>Names of stock exchanges for publicly-listed companies</t>
  </si>
  <si>
    <t xml:space="preserve">Available at https://view.officeapps.live.com/op/view.aspx?src=http%3A%2F%2Fwww.pngeiti.org.pg%2Fwp-content%2Fuploads%2F2020%2F12%2FEITI-PNG-BO-Register-last-update-20.12.2020.xlsx&amp;wdOrigin=BROWSELINK </t>
  </si>
  <si>
    <t>Is information on legal owners disclosed?</t>
  </si>
  <si>
    <t>Company register (legal ownership registry)</t>
  </si>
  <si>
    <t>Beneficial ownership registry</t>
  </si>
  <si>
    <t xml:space="preserve">There are 3 only BO ID available at https://view.officeapps.live.com/op/view.aspx?src=http%3A%2F%2Fwww.pngeiti.org.pg%2Fwp-content%2Fuploads%2F2020%2F12%2FEITI-PNG-BO-Register-last-update-20.12.2020.xlsx&amp;wdOrigin=BROWSELINK </t>
  </si>
  <si>
    <t>Requirement 2.6: State participation</t>
  </si>
  <si>
    <t>Objective of Requirement 2.6</t>
  </si>
  <si>
    <t>Progress towards the objective of the requirement, to ensure an effective mechanism for transparency and accountability for well-governed SOEs and state participation more broadly through a public understanding of whether SOEs’ management is undertaken in accordance with the relevant regulatory framework. This information provides the basis for continuous improvements in the SOE’s contribution to the national economy, whether financially, economically or socially.</t>
  </si>
  <si>
    <t>Is Requirement 2.6 applicable in the period under review?</t>
  </si>
  <si>
    <t>Applicability</t>
  </si>
  <si>
    <t>Does the government report how it participates in the extractive sector?</t>
  </si>
  <si>
    <t>Yes, EITI Reporting</t>
  </si>
  <si>
    <t>7th PNG EITI Report, pp.66, 156-167</t>
  </si>
  <si>
    <t xml:space="preserve">Not all SOEs have disclosed their Financial Statements publicly or online and the financial statements are not up to date. SOEs should be disclosed their financial statements in the PNG EITI Report and the reports should also provide information about revenues generated from extractive industries. </t>
  </si>
  <si>
    <t>The FY 2019 report provides a brief description about state’s equity participation right through SOE. The state through an SOE can acquire up to 22.5% of a participating interest in a designated gas or petroleum project, and up to 30% of a mining project.  
In practice when an SOE takes equity participation in a mining project it provides free equity to landowners (up to 5%) and 2.5% free equity to each provincial government through MRDC.  For the petroleum project, the report refers to OGA section 167 but in this article it’s not clear how much is the equity benefit should be granted to the landowners.   (Page 66)</t>
  </si>
  <si>
    <t>Statutory financial relations</t>
  </si>
  <si>
    <t>Where are the statutory rules regarding SOEs' financial relations with government described?</t>
  </si>
  <si>
    <t>7th PNG EITI Report, pp.156-157, 160-162, 164</t>
  </si>
  <si>
    <t>There is no details about financial relationships between the state and SOEs provided in the FY 2019 report.</t>
  </si>
  <si>
    <t xml:space="preserve">Clarify with MSG if there is legal legal basis for financial relations between the state and SOEs and how it happens in practice. Also clarify Revenue flows from government to SOE, SOEs revenue flow to government, 
How Government contributes to SOE financing and 
How SOEs raise funding to pay for their interest 
 </t>
  </si>
  <si>
    <t>Where are the statutory rules regarding SOEs' entitlements to transfers from government described?</t>
  </si>
  <si>
    <t xml:space="preserve">Clarify with MSG if there such information </t>
  </si>
  <si>
    <t>Where are the statutory rules regarding SOEs' distribution of profits described?</t>
  </si>
  <si>
    <t>Where are the statutory rules regarding SOEs' ability to retain earnings described?</t>
  </si>
  <si>
    <t>Where are the statutory rules regarding SOEs' reinvestments described?</t>
  </si>
  <si>
    <t>Where are the statutory rules regarding SOEs' third-party financing described?</t>
  </si>
  <si>
    <t>Financial relations in practice</t>
  </si>
  <si>
    <t>References to state-owned enterprises portals or company website(s), for example as stated in the Report (Add rows if several SOEs)</t>
  </si>
  <si>
    <t>7th PNG EITI Report, pp.156-p172</t>
  </si>
  <si>
    <t>References to state-owned enterprises or company Audited Financial Statement (Add rows if several SOEs)</t>
  </si>
  <si>
    <t>Yes, EITI Reporting and Systematically disclosed</t>
  </si>
  <si>
    <t>http://www.ago.gov.pg/images/Part_4_Report_2019.pdf</t>
  </si>
  <si>
    <t>7th PNG EITI Report pp.77 , 198 - 203</t>
  </si>
  <si>
    <t>State ownership</t>
  </si>
  <si>
    <t>Where is information on state and SOE equity in extractive companies publicly disclosed?</t>
  </si>
  <si>
    <t xml:space="preserve">7th PNG EITI Report, pp.66, 156-172  </t>
  </si>
  <si>
    <t xml:space="preserve">Kumul Petroleum Holding, subsidiaries and their JVs: 
Kumul Petroleum Holding (100% owned by the government)  
Kumul Petroleum (Kroton) Ltd (Clarify 74.25% owned by KPHL in page 156 but 100% in page 157) 
It has 20.5% of interests in each of these JVs : PDL 1(Hides), PDL 7(Hides), PDL 8 (Angore), and PDL 9 (Juha).  
Eda Oil Ltd. (100% owned by KPHL)  
It has 100% of interest in Kumul LNG Ltd and 11.28% interest in PDL 5 Moran  
NPCP Oil Company (100% owned by KPHL) 
It has 21.4% interest in PDL 3 Southeast Globe, 14.89% interest in PRL 9 Barikewa, 37.44% interest in PRL 14 Lehi, Cobra, Bilip 
Kumul Gas Niugini (It’s not clear in page 157 about the ownership of KPHL. Please clarify) 
It has 10% interest in PDL 10 Stanley, 17% interest in PRL 8 Kimu, 20% interest in PRL 28 Ubuntu, and 20% interest in PRL 40.   
(Page 157) 
Kumul Mineral Holding, subsidiaries and their JVs:  
Kumul Mineral Holding (100% owned by the government) 
Eda Kopa (Solwara) (No information about ownership of Kumul Mineral Holding in this subsidiary)  
It has 15% of interest in Solwara project operated by Nautilus’ Mineral (85% owned by Nautilus Mineral Inc. listed in TSX / Canada).   
Eda Minerals Ltd (No information about ownership of Kumul Mineral Holding in this subsidiary) 
It holds mining and exploration interests including a 53.8% share in Bougainville Copper Ltd (BCL), which was transferred from Rio Tinto Ltd in 2016.  
OK Tedi Mining Limited (OTML), Subsidiaries and JVs 
Ok Tedi Mining (according to EIT report 2019, 100% owned by the government) 
Ok Tedi Australia Pty Ltd (100% owned by OTML): the marketing and Australian logistics arm of OTM, based in Brisbane  
Ok Tedi Power Ltd (100% owned by OTML): manages the Kiunga power operation and mini grids in Western Province 
Ok Tedi Development Foundation Ltd (75% owned by government, 25% owned by PNG Sustainable Development Programme): a non-profit entity established to manage the development benefits and delivery of tax credit scheme and community projects to the 157 villages in the Community Mine Continuation Agreement (CMCA) area of the Western Province.  
Mineral Resource Development Company (MRDC), Subsidiaries and JVs 
Gap: MRDC acts as a trustee shareholder for beneficiary landowners and provincial governments, however there is no information about the ownership structure of MRDC.   
MRDC has direct equity in resource projects below:  
1.48% interest in Highlands Pacific Ltd  
3.94% in the Ramu Nickel Project  
2.50% in the McArthur River Mine  
2.80% in the PNG LNG Project 
(Page 164) 
Table 107 (Page 165-167) list down MRDC subsidiaries and their interests in various JVs.    
The report, however, shows no information about ownership structure of Gas Resources PNG LNG Plant Ltd.  </t>
  </si>
  <si>
    <t xml:space="preserve">Clarify with MSG : in the SOE scoping report Ok Tedi Mining 67% of interest owned by a subsidiary of Kumul Minerals Holding (Kumul Minerals Ok Tedi Ltd) and 33% owned by MRDC through its subsidiaries (MRSM, MROT2, MRCMCA). See : SOE SCOPING STUDY (pngeiti.org.pg) Page 39. If this is accurate it means that Ok Tedi Mining is a subsidiary of KMHL and MRDC. Kumul Petroleum (Kroton) Ltd (Clarify 74.25% owned by KPHL in page 156 but 100% in page 157) </t>
  </si>
  <si>
    <t>Where is information on the terms attached to state and SOE equity in extractive companies publicly disclosed?</t>
  </si>
  <si>
    <t>Clarify with MSG  if there is such information</t>
  </si>
  <si>
    <t>Where is information on state and SOE participating interests in extractive projects publicly disclosed?</t>
  </si>
  <si>
    <t>7th PNG EITI Report, pp66, 156-172</t>
  </si>
  <si>
    <t>Information is available in pp66, 156-172 of the FY 2019 report</t>
  </si>
  <si>
    <t>Where is information on the terms attached to state and SOE participating interests in extractive projects publicly disclosed?</t>
  </si>
  <si>
    <t>7th PNG EITI Report pp. 66, 156 - 172</t>
  </si>
  <si>
    <t xml:space="preserve">Clarify with MSG if there is such information </t>
  </si>
  <si>
    <t>Loans and guarantees</t>
  </si>
  <si>
    <t>Where are loans and loan guarantees from the state to extractive companies and projects disclosed?</t>
  </si>
  <si>
    <t>7th PNG EITI Report, pp.157-158, 161-163, 168</t>
  </si>
  <si>
    <t>Some information available in FY 2019 report (page 109, 110,168)</t>
  </si>
  <si>
    <t xml:space="preserve">Clarify with MSG if there are other venues where such information is available </t>
  </si>
  <si>
    <t>Where are loans and loan guarantees from SOEs to extractive companies and projects disclosed?</t>
  </si>
  <si>
    <t>7th PNG EITI Report, pp.168</t>
  </si>
  <si>
    <t xml:space="preserve">Based on the MCC Ramu Nico annual report, out of PGK1.92 billion revenue, net income amounted to PGK38 million or 2% of gross revenue. Operating costs are primarily comprised of 63% of cost of sales (production cost) and 26% depreciation. Whilst the project maintains a gross margin of 47.5% or PGK915 million (excluding depreciation), net income remains modest due to interest expense incurred from bank loan borrowings (page 109).  
Need to clarify this since MRDC has an interest of 6.46% in this Ramu Nickel Project. 
Ramu Nickel Project 85% shares owned by MCC Ramu Nico Ltd in PNG. This company 100% owned by a Chinese company (MCC-JJJ Mining Development company) in which 67.02% shares listed in Hongkong and Shanghai stock exchange (Metallurgical Corporation of China Limited) and the rest owned by Chinese private companies (Jiuquan Iron &amp; Steel (Group) Ltd and Jilin Jien Nickel Industry Ltd) and a Chinese SOE (Jinchuan Group Ltd).   
There is no detail about loan tenor and terms.  
Page 110.  
There is information about project loan repayment and project loan interest payment to Project Finance Debt Facility from PNG LNG Global Company incorporated in Bahamas where KPHL share of loan is 16.8% and MDRC share of loans is 2.8%. Other borrowers include Exxon Mobile (323.2%), Oil Search (29%), Santos (13.5%), JX (4.7%).  
Need to investigate further the ownership structure of PNG LNG Global Company LDC (“GloCo”) as this information is not available in the report. 
There is no detail about loan tenor and terms of the loan.  
For 2016, KMHL stated that they paid no dividend to the State; did not provide loans or loan guarantees to mining or oil and gas companies operating within the country and made no subnational payments or transfers (Page 161). No information about 2019 for KMHL.  
Per annual report OTML did not provide any loans or loan guarantees to mining or oil and gas companies operating in the country during 2019 (Page 163) 
MRDC advised that they provide loans to their own subsidiaries but not to any external organisations. They confirmed that both the organisation itself and all its subsidiaries are subject to corporate income tax (Page 168) </t>
  </si>
  <si>
    <t>Corporate governance</t>
  </si>
  <si>
    <t>Where is corporate governance information on SOEs publicly disclosed?</t>
  </si>
  <si>
    <t>http://www.mra.gov.pg</t>
  </si>
  <si>
    <t xml:space="preserve">There is a brief description about the MDRC chair of the Board (Chief Secretary of Prime Minister Office) in page 164 but no further details about corporate governance structure of MDRC.   
No information about corporate governance structure of OK Tedi Mining, KPHL, KMHL and their subsidiaries.  
No information about rules and practices related to opex and capex, procurement and subcontracting.  </t>
  </si>
  <si>
    <t xml:space="preserve">Clarify with MSG if there is any relevant information about the corporate governance of SOE available in other venues </t>
  </si>
  <si>
    <t>Requirement 3.1: Exploration activities</t>
  </si>
  <si>
    <t>Objective of Requirement 3.1</t>
  </si>
  <si>
    <t>Progress towards the objective of the requirement, to ensure public access to an overview of the extractive sector in the country and its potential, including recent, ongoing and planned significant exploration activities.</t>
  </si>
  <si>
    <t>Overview of the extractive industries</t>
  </si>
  <si>
    <t>EITI Reporting and systematically disclosed</t>
  </si>
  <si>
    <t>http://www.pngeiti.gov.pg/pngeiti</t>
  </si>
  <si>
    <t xml:space="preserve">Contribution of the extractive industry to the PNG's economy is available in FY 2019 report page 42-54. </t>
  </si>
  <si>
    <t>Overview of key companies in the extractive industries</t>
  </si>
  <si>
    <t>Overview of mining companies are available in Table 58 (page 98). Overview of oil and gas companies is available in page 133</t>
  </si>
  <si>
    <t>Overview of significant exploration activities</t>
  </si>
  <si>
    <t>7th PNG EITI Report, pp. 120 -123,  145 -p150</t>
  </si>
  <si>
    <t xml:space="preserve">The FY 2019 report includes materiality threshold for exploration or pre-production projects for all oil, gas and mining companies. There are two material exploration projects disclosed in the report: JX Nippon Oil and Gas Exploration Corporation (and subsidiaries), page 9 and Frieda River project (major shareholder is a Chinese SOE / Guangdong Rising Assets Management Co. Ltd) page 121. Other ongoing exploration projects but non-reporting entities are disclosed in page 122 (Table 83).  
Revenue streams from the exploration projects include exploration security deposits, exploration licence rentals, exploration applications, extensions, extension late fees, transfer and dealing fees (related to exploration), page 39.  
Appendix B of the report list down the following active exploration licenses : 
124 GRANTED EXPLORATION LICENCE - OCTOBER 2017 (page 213) 
51 RENEWAL EXPLORATION LICENCE - OCTOBER 2017 (page 216) 
74 GRANTED EXPLORATION LICENCE - DECEMBER 2018 (page 217) 
125 RENEWAL EXPLORATION LICENCE - DECEMBER 2018 (page 218) 
118 GRANTED EXPLORATION LICENCE - OCTOBER 2019 (page 220) 
89 RENEWAL EXPLORATION LICENCE - OCTOBER 2019 (page 222).  For the oil and gas, Appendix C and D list down information of the petroleum licenses however the report also notes that data for 2019 is not made available by the DPE. Appendix E provides map of petroleum license but it is too small to read.  It is also not clear if the information for oil and gas licenses are for exploration or production (need to clarify). </t>
  </si>
  <si>
    <t>Requirement 3.2: Production data</t>
  </si>
  <si>
    <t>Objective of Requirement 3.2</t>
  </si>
  <si>
    <t>Progress towards the objective of the requirement, to ensure public understanding of extractive commodity(ies) production levels and the valuation of extractive commodity output, as a basis for addressing production-related issues in the extractive industries.</t>
  </si>
  <si>
    <t>Is Requirement 3.2 applicable in the period under review?</t>
  </si>
  <si>
    <t>(Harmonised System Codes)</t>
  </si>
  <si>
    <t>Disclosure of production volumes</t>
  </si>
  <si>
    <t>https://view.officeapps.live.com/op/view.aspx?src=http%3A%2F%2Fwww.pngeiti.org.pg%2Fwp-content%2Fuploads%2F2022%2F01%2F2019-Papua-New-Guinea-Summary-Data.xlsx&amp;wdOrigin=BROWSELINK</t>
  </si>
  <si>
    <t>7th PNG EITI Report, pp.124 -126,  148 -151</t>
  </si>
  <si>
    <t xml:space="preserve">Mining production data 
The report discloses mining production data by companies, by commodity, by value in Table 84 (page 124-125).  
The data disclosed by companies and MRA is reconciled by the IA with noteworthy findings such as -100% variance in Lihir (Luise caldera) project, 707% variance in Kainantu project, etc (details are available in page 124). Need to check if MSG have followed up these findings.    
Volumes of production is not disclosed in the report.  
MRA undertakes reasonable checks on the monthly production data submitted by companies however the MRA do not have capacity to audit the data although they have authority under MRA act to do so (page 124).  
Given the significance of data variance resulting from reconciliation of company data vs MRA data, the MSG may want to recommend to MRA to undertake quantity check or audit of the production data submitted to the MRA. Under reporting of production data will obviously decrease revenue to the state.   
Oil and gas production data  
Table 98 discloses oil and gas production data by companies (Exon Mobile and Oil search), by volume, page 149. While oil and gas production data by DPE is disclosed in page 150, by companies, by volume.  
However, as noted by the IA there are significant inconsistencies of oil and gas company production data and DPE oil and gas production data (details are in pages 149-150). 
It is fair to say that this is an area for major improvement in the next reporting cycle. A detail review of oil and gas production data reporting system is necessary to improve the system.   </t>
  </si>
  <si>
    <t xml:space="preserve">The data disclosed by companies and MRA is reconciled by the IA with noteworthy findings such as -100% variance in Lihir (Luise caldera) project, 707% variance in Kainantu project, etc (details are available in page 124). Need to check if MSG have followed up these findings.   </t>
  </si>
  <si>
    <t>Disclosure of production values</t>
  </si>
  <si>
    <t xml:space="preserve">Production values by commodity are only available in the mining production data (page 125). There is no value for oil and gas production data.  
 Note: production value for mining production data is not disclosed directly by MRA but it is calculated by the IA using this formula: Value of commodity = (Export value / Export quantity) Produced value = Value of commodity * quantity produced).  
</t>
  </si>
  <si>
    <t>Need to clarify with the IA and MSG how accurate the formula given the fact that production volumes are not disclosed both by companies and MRA.</t>
  </si>
  <si>
    <t>Crude oil (2709), volume</t>
  </si>
  <si>
    <t>2,869,738.00 Sm3</t>
  </si>
  <si>
    <t>7th PNG EITI Report, pp.148 -150</t>
  </si>
  <si>
    <t>Natural gas (2711), volume</t>
  </si>
  <si>
    <t xml:space="preserve"> 8,489,835.00 Sm3 o.e.</t>
  </si>
  <si>
    <t>Gold (7108), volume</t>
  </si>
  <si>
    <t>2,138,050.00 oz</t>
  </si>
  <si>
    <t>7th PNG EITI Report, pp. 124-126</t>
  </si>
  <si>
    <t>10,012,486,448.07 PGK</t>
  </si>
  <si>
    <t>7th PNG EITI Report, pp.124 - p126 (Value to be converted to USD if required)</t>
  </si>
  <si>
    <t>Silver (7106), volume</t>
  </si>
  <si>
    <t>5,064,404.00 oz</t>
  </si>
  <si>
    <t>7th PNG EITI Report, pp. 124-125</t>
  </si>
  <si>
    <t>269,665,971.00 PGK</t>
  </si>
  <si>
    <t>Coal (2701), volume</t>
  </si>
  <si>
    <t>Not applicable</t>
  </si>
  <si>
    <t>Copper (2603), volume</t>
  </si>
  <si>
    <t>99,399.00 Tonnes</t>
  </si>
  <si>
    <t>1,937,784,067.26 PGK</t>
  </si>
  <si>
    <t>7th PNG EITI Report, pp.124 -126 (Value to be converted if required)</t>
  </si>
  <si>
    <t>Add commodities here, volume(Oil and Gas)</t>
  </si>
  <si>
    <t>11, 359,573.00 Sm3</t>
  </si>
  <si>
    <t>7th PNG EITI Report, pp. 148 -150</t>
  </si>
  <si>
    <t>Add commodities here, volume(Mining)</t>
  </si>
  <si>
    <t>7,301,853.00 Tonnes</t>
  </si>
  <si>
    <t>7th PNG EITI Report, pp. 124 - 126</t>
  </si>
  <si>
    <t>12,236,479,881 PGK</t>
  </si>
  <si>
    <t xml:space="preserve">Requirement 3.3: Export data </t>
  </si>
  <si>
    <t>Objective of Requirement 3.3</t>
  </si>
  <si>
    <t>Progress towards the objective of the requirement, to ensure public understanding of extractive commodity(ies) export levels and the valuation of extractive commodity exports, as a basis for addressing export-related issues in the extractive industries.</t>
  </si>
  <si>
    <t>Is Requirement 3.3 applicable in the period under review?</t>
  </si>
  <si>
    <t>Disclosure of export volumes</t>
  </si>
  <si>
    <t>7th PNG EITI Report, pp.124 -126,  148 -150</t>
  </si>
  <si>
    <t xml:space="preserve">The report discloses mining export data by companies, by commodity, by value in Table 84 (page 124-125) reconciled by the IA against MRA data. There is significant export data variance of -100 % in Lihir (Luise Caldera) project.   
Oil and gas companies (Exxon Mobile and Oil Search) disclosed export volumes in Table 98 (page 149) and DPE disclosed export volumes in Table 99 (page 150).  
Customs discloses oil and gas export quantities, values and country of destinations in Table 100.  
 As noted by the IA there are significant inconsistencies of oil and gas company export data and DPE oil and gas production data (details are in pages 149-150). 
 DPE, oil and gas reporting companies and customs need to establish a coherent system (quantity assurance) to ensure that there is consistent data from production to export. Under reporting means less revenues to the state. </t>
  </si>
  <si>
    <t xml:space="preserve">Clarify with IA and MSG about significant inconsistencies of oil and gas company export data and DPE oil and gas production data and how this data gap have been and will be addressed </t>
  </si>
  <si>
    <t>Disclosure of export values</t>
  </si>
  <si>
    <t xml:space="preserve">Mining export value by companies, by commodity and by value are disclosed Table 84 (page 124-125) reconciled by the IA against MRA data. 
Oil and gas export value are disclosed by the Customs in Table 100 (page 151).  
Data of export value are not disclosed by DPE and reporting companies. The IA obtained the data disclosed in Table 98 and Table 99 from the 2021 National Budget - 2021 National Budget Volume 1 Volume and Value of Main Exports Commodities Table 4 and 5; http://www.treasury.gov.pg/html/national_budget/files/2021/2021%20Budget%20Volume%201.pdf, accessed 18 December 2020 (page 25). However as noted before they are inconsistent and incomplete.    </t>
  </si>
  <si>
    <t>2,871,929 Sm3</t>
  </si>
  <si>
    <t>Not Applicable</t>
  </si>
  <si>
    <t>8,369,623 Sm3 o.e.</t>
  </si>
  <si>
    <t>2,198,814 oz</t>
  </si>
  <si>
    <t>7th PNG EITI Report, pp.124 -126</t>
  </si>
  <si>
    <t>10,266,594,908.00 PGK</t>
  </si>
  <si>
    <t>7th PNG EITI Report, pp.124 -p126 (Value to be converted to USD)</t>
  </si>
  <si>
    <t>5,244,332 oz</t>
  </si>
  <si>
    <t>280,977,368.00 PGK</t>
  </si>
  <si>
    <t>107,778 Tonnes</t>
  </si>
  <si>
    <t>2,122,454,274.00 PGK</t>
  </si>
  <si>
    <t>11,241,552 Tonnes</t>
  </si>
  <si>
    <t>Add commodities here, volume</t>
  </si>
  <si>
    <t>7,550,924 Tonnes</t>
  </si>
  <si>
    <t>12,670,026,550 PGK</t>
  </si>
  <si>
    <t>Requirement 4.1: Comprehensive disclosure of taxes and revenues</t>
  </si>
  <si>
    <t>Objective of Requirement 4.1</t>
  </si>
  <si>
    <t>Progress towards the objective of the requirement, to ensure comprehensive disclosures of company payments and government revenues from oil, gas and mining as the basis for a detailed public understanding of the contribution of the extractive industries to government revenues.</t>
  </si>
  <si>
    <t>Does the government fully disclose extractive sector revenues by revenue stream?</t>
  </si>
  <si>
    <t>7th PNG EITI Report, pp.31, 37- 40</t>
  </si>
  <si>
    <t xml:space="preserve">The FY 2019 report covers 97.84% of PNG government revenues from the oil, gas, and mining sectors.  
Other revenue streams that fall under 2% of total government revenue from extractive such as production levy, environmental fees are also disclosed unilaterally in the report as agreed by the MSG.  
Page 30, page 40   </t>
  </si>
  <si>
    <t>Are MSG decisions on the materiality threshold for revenue streams publicly available?</t>
  </si>
  <si>
    <t>7th EITI PNG Report, pp.30</t>
  </si>
  <si>
    <t>The MSG has agreed on the definition of materiality as follow: 
- Revenue streams that contribute 2% or more of government revenue from the sector 
- Revenue streams that currently contribute less than 2% to government revenue from the sector, but which are considered by the MSG to be ‘of significant interest’ to the people of PNG – for example, production levy, development levy or environmental fees. Material reporting entities 
- All mining and oil and gas companies which have interests in operations that were producing saleable commodities, as agreed by the MSG 
- Government entities who received payments from the companies 
- Trustees of government funds 
- SOEs that have interests in resource companies, or receive or make payments to the resources sector 
- Entities that do not receive payments but keep records of payments (Page 30, page 40)</t>
  </si>
  <si>
    <t>Are MSG decisions on materiality thresholds for companies publicly available?</t>
  </si>
  <si>
    <t>7th PNG EITI Report, pp.31- 37</t>
  </si>
  <si>
    <t xml:space="preserve">List of material companies including SOEs and subsidiaries are described in Table 9 (page 36) where 7 are mining companies and 7 are oil and gas companies.  
 Table 10 (page 36) describes coverage of companies making payments to the government. It includes material companies (defined as &gt;= 2% of total revenue streams), material under qualitative definition and non-material companies. In total there are 54 companies. 
IA confirmed that the reconciliation has covered 99.42% of revenue streams in accordance with the materiality definition (page 37) </t>
  </si>
  <si>
    <t xml:space="preserve">Need to clarify with MSG the difference of data: in Table 9, there are 14 material companies, but in Table 10 there are 16 material companies under quantitative criteria and 21 companies under qualitative criteria. </t>
  </si>
  <si>
    <t>Are the revenue streams considered material are publicly listed and described?</t>
  </si>
  <si>
    <t>7th PNG EITI Report, pp.75-77</t>
  </si>
  <si>
    <t xml:space="preserve">An overview of government revenue streams from the PNG extractive industry is illustrated in Figure 10, (page 31) which include corporate income tax (CIT), royalties, equity distributions, dividends, mandatory and voluntary social expenditures, salary and wages taxes, withholding taxes, production levy and others. Total government revenues from the oil, gas and mining by revenue streams, materiality, reconciled or unilaterally disclosed are described in more details in Table 14 (page 39-40),  </t>
  </si>
  <si>
    <t>Have the revenue streams listed in Requirement 4.1.c been considered? Where the MSG has agreed to exclude certain revenue streams from the scope of EITI disclosures, are the rationale for their exclusion, and their values, clearly documented?</t>
  </si>
  <si>
    <t>7th PNG EITI Report, pp.30, 76</t>
  </si>
  <si>
    <t xml:space="preserve">Requirement 4.1.c requires comprehensive reconciliation of revenues based on the materiality agreed by the MSG.  
 As outlined in in page 40, the report covers 97.84% of total revenue streams. Revenue streams which are not covered in the report is 2.16% thus (based on IA opinion) it does not affect comprehensiveness of the revenue streams disclosed.  
 The revenue streams recorded including those from the SOEs and their subsidiaries such as KPHL (equity distribution) received from its JVs and paid dividends to the treasury, taxes paid to IRC, etc. Details of revenue streams of SOEs are described in Table 11 (page 37).  
In page 31, the report describes a number of revenue streams such as share of sales, infrastructure tax credits and infrastructure tax credit spent which are not included in the report. However, the report describes rationale for their exclusion. </t>
  </si>
  <si>
    <t>Has the MSG identified the companies making material payments?</t>
  </si>
  <si>
    <t>7th PNG EITI Report,  pp.31 - 37</t>
  </si>
  <si>
    <t xml:space="preserve"> Need to clarify difference of data: in Table 9, there are 14 material companies, but in Table 10 there are 16 material companies under quantitative criteria and 21 companies under qualitative criteria. </t>
  </si>
  <si>
    <t>Have all material companies fully reported all payments in accordance with the materiality definition?</t>
  </si>
  <si>
    <t>7th PNG EITI Report,  pp.31 -40</t>
  </si>
  <si>
    <t xml:space="preserve">This is available in Table 8 (page 32-35) of FY 2019 of report </t>
  </si>
  <si>
    <t>Has the MSG identified the government entities receiving material revenues?</t>
  </si>
  <si>
    <t>7th PNG EITI Report,  pp.37 -40</t>
  </si>
  <si>
    <t xml:space="preserve">List of material government entities is provided in Table 12 and Table 13 list down 3 government entities (Bank of PNG, Department of Mineral Policy, Department of Finance) to cross check reference (Page 38) and Table 14 provides list of government revenue streams paid to different government agencies both reconciled and unilaterally disclosed.  
IA confirmed that the reconciliation has covered 97.84% of extractive revenues (page 40).  </t>
  </si>
  <si>
    <t xml:space="preserve">Clarify the difference between companies’ revenue streams reconciliation (99.42%) with the government revenue streams reconciliation (97.84%).  </t>
  </si>
  <si>
    <t>Have all material government entities fully reported all receipts in accordance with the materiality definition?</t>
  </si>
  <si>
    <t>7th PNG EITI Report,  pp.38 -40</t>
  </si>
  <si>
    <t xml:space="preserve">Table 14 of the report describes government revenue streams including those which are not material such as production levy, license fees, import taxes and excise duty, environmental permit fees, etc (page 39-40).  
 IA confirmed that the reconciliation of government revenue streams has covered 97.84% of extractive revenues (page 40). </t>
  </si>
  <si>
    <t xml:space="preserve">Did all subnational units comprehensively disclose? </t>
  </si>
  <si>
    <t>Has the government fully reported all revenues, including any revenues below the materiality thresholds? Note: for revenues related to revenue streams below the materiality threshold, this information can be provided in aggregate, if accompanied by an explanation of which precise revenue streams are included in the aggregate.</t>
  </si>
  <si>
    <t xml:space="preserve">Is there full disclsoure of non materail revenue streams by the government? You noted above that they are described but are their amounts disclosed? </t>
  </si>
  <si>
    <t>Where companies or government entities paying or receiving material revenues have not submitted reporting templates, or have not fully disclosed all the payments and revenues, have public disclosures documented these issues and included an assessment of the impact on the comprehensiveness of the report?</t>
  </si>
  <si>
    <t>7th PNG EITI Report pp. 30 &amp; 174</t>
  </si>
  <si>
    <t xml:space="preserve">There are revenue streams excluded from the report: share of sales, infrastructure tax credits and infrastructure tax credit spent. However, the report describes rationale for their exclusion (page 31).  
Assessment made by the IA is that these exclusion does not affect comprehensiveness of the report (see page 37 and page 40).  </t>
  </si>
  <si>
    <t xml:space="preserve">What is the % of these excluded revenues against total revenues? </t>
  </si>
  <si>
    <t>Reconciliation coverage</t>
  </si>
  <si>
    <t>7th PNG EITI Report, pp.38 - 40</t>
  </si>
  <si>
    <t xml:space="preserve">IA confirmed that the reconciliation has covered 97.84% of extractive revenues (page 40).  </t>
  </si>
  <si>
    <t>Have the companies making material payments to government publicly disclosed their audited financial statements, or the main items (i.e. balance sheet, profit/loss statement, cash flows) where financial statements are not available?</t>
  </si>
  <si>
    <t xml:space="preserve">Table 136 describe audited financial statements of the reporting companies and relevant links to their reports. 
However, not all reporting companies’ financial statements are publicly available I’e., Progera, Lihir or SOEs such as OK Tedi Mining. KPL and MRDC publish their financial audits but outdated  </t>
  </si>
  <si>
    <t xml:space="preserve">what is the percentage of revenues of these companies without FS? It's important to ask this to assess overall data quality. </t>
  </si>
  <si>
    <t xml:space="preserve">#4.1 (Reporting entities) covers lists reporting entities (Government agencies, companies and projects) and related information. </t>
  </si>
  <si>
    <r>
      <t>1.Please begin  with the first box (</t>
    </r>
    <r>
      <rPr>
        <b/>
        <i/>
        <sz val="11"/>
        <color theme="1"/>
        <rFont val="Franklin Gothic Book"/>
        <family val="2"/>
      </rPr>
      <t>Reporting government entities list</t>
    </r>
    <r>
      <rPr>
        <i/>
        <sz val="11"/>
        <color theme="1"/>
        <rFont val="Franklin Gothic Book"/>
        <family val="2"/>
      </rPr>
      <t>), with the name of each government reporting agency</t>
    </r>
  </si>
  <si>
    <r>
      <t xml:space="preserve">2.Fill the </t>
    </r>
    <r>
      <rPr>
        <b/>
        <i/>
        <sz val="11"/>
        <color theme="1"/>
        <rFont val="Franklin Gothic Book"/>
        <family val="2"/>
      </rPr>
      <t>Company ID</t>
    </r>
    <r>
      <rPr>
        <i/>
        <sz val="11"/>
        <color theme="1"/>
        <rFont val="Franklin Gothic Book"/>
        <family val="2"/>
      </rPr>
      <t xml:space="preserve"> row. Guidance will be provided in yellow boxes once the cell is highlighted.</t>
    </r>
  </si>
  <si>
    <t>3.Fill the Reporting Companies' list, beginning with first column "Full Company name". Please fill out as directed, completing every column for each row before beginning the next.</t>
  </si>
  <si>
    <r>
      <t xml:space="preserve">4.Fill the </t>
    </r>
    <r>
      <rPr>
        <b/>
        <i/>
        <sz val="11"/>
        <color theme="1"/>
        <rFont val="Franklin Gothic Book"/>
        <family val="2"/>
      </rPr>
      <t xml:space="preserve">Reporting projects' list, </t>
    </r>
    <r>
      <rPr>
        <i/>
        <sz val="11"/>
        <color theme="1"/>
        <rFont val="Franklin Gothic Book"/>
        <family val="2"/>
      </rPr>
      <t>beginning with first column "Full project name"</t>
    </r>
  </si>
  <si>
    <t>#4.1 Reporting entities</t>
  </si>
  <si>
    <t>Please provide a list of all reporting entities, alongside relevant information</t>
  </si>
  <si>
    <t>Reporting government entities list</t>
  </si>
  <si>
    <t>Full name of agency</t>
  </si>
  <si>
    <t>Agency type</t>
  </si>
  <si>
    <t>ID number (if applicable)</t>
  </si>
  <si>
    <t>Submitted reporting templates?</t>
  </si>
  <si>
    <t>Adhered to MSG's quality assurances?</t>
  </si>
  <si>
    <t>Total reported</t>
  </si>
  <si>
    <t>THE ASSOCIATION FOR THE EXTRACTIVE INDUSTRIES TRANSPARENCY INITIATIVE (EITI)</t>
  </si>
  <si>
    <t>Partially</t>
  </si>
  <si>
    <t>Internal Revenue Commission(IRC)</t>
  </si>
  <si>
    <t>Central Government</t>
  </si>
  <si>
    <t>IRC</t>
  </si>
  <si>
    <t>Mineral Resource Authority(MRA)</t>
  </si>
  <si>
    <t>MRA</t>
  </si>
  <si>
    <t>Department of Treasury</t>
  </si>
  <si>
    <t>Treasury</t>
  </si>
  <si>
    <t>Department of Petroleum and Energy</t>
  </si>
  <si>
    <t>DPE</t>
  </si>
  <si>
    <t>Department of National Planning and Monitoring(DNPM)</t>
  </si>
  <si>
    <t>DNPM</t>
  </si>
  <si>
    <t>Conservation and Environment Protection Authority(CEPA)</t>
  </si>
  <si>
    <t>CEPA</t>
  </si>
  <si>
    <t>PNG Customs</t>
  </si>
  <si>
    <t>Customs</t>
  </si>
  <si>
    <t>State-Owned Entities</t>
  </si>
  <si>
    <t>State-owned enterprises and pubilc corporations</t>
  </si>
  <si>
    <t>SOE</t>
  </si>
  <si>
    <t>Reporting companies' list</t>
  </si>
  <si>
    <t>Company ID references</t>
  </si>
  <si>
    <t>Example: Taxpayer Identification Number</t>
  </si>
  <si>
    <t>The Brønnøysund Register Centre</t>
  </si>
  <si>
    <t>If available, link to the registry or agency</t>
  </si>
  <si>
    <t>Full company name</t>
  </si>
  <si>
    <t>Company type</t>
  </si>
  <si>
    <t>Company ID number</t>
  </si>
  <si>
    <t>Sector</t>
  </si>
  <si>
    <t>Commodities (comma-seperated)</t>
  </si>
  <si>
    <t xml:space="preserve">Stock exchange listing or company website </t>
  </si>
  <si>
    <t>Audited financial statement (or balance sheet, cash flows, profit/loss statement if unavailable)</t>
  </si>
  <si>
    <t>Payments to Governments Report</t>
  </si>
  <si>
    <t>Exxon Mobil PNG Ltd</t>
  </si>
  <si>
    <t>Private</t>
  </si>
  <si>
    <t>ExxonTIN01</t>
  </si>
  <si>
    <t>Oil &amp; Gas</t>
  </si>
  <si>
    <t>Gas, Condesates</t>
  </si>
  <si>
    <t>https://pngpartnership.exxonmobil.com/</t>
  </si>
  <si>
    <t>https://corporate.exxonmobil.com/-/media/Global/Files/investor-relations/annual-meeting-materials/annual-report-summaries/2020-Annual-Report.pdf</t>
  </si>
  <si>
    <t>JX Nippon (Merlin Petroleum Company)</t>
  </si>
  <si>
    <t>Oil, Gas, Condesates</t>
  </si>
  <si>
    <t>https://www.nex.jx-group.co.jp/english/project/oceania/png.html</t>
  </si>
  <si>
    <t>https://ssl4.eir-parts.net/doc/5020/ir_material_for_fiscal_ym9/92354/00.pdf</t>
  </si>
  <si>
    <t>Nippon PNG LNG LCC</t>
  </si>
  <si>
    <t>Kumul Petroleum (Kroton) Ltd</t>
  </si>
  <si>
    <t xml:space="preserve">State-owned enterprises &amp; public corporations </t>
  </si>
  <si>
    <t>http://kumulpetroleum.com/</t>
  </si>
  <si>
    <t>https://www.kch.com.pg/wp-content/uploads/2021/03/2019-KCH-Annual-Results-for-web-site.pdf</t>
  </si>
  <si>
    <t>Kumul Mineral Holdings Ltd</t>
  </si>
  <si>
    <t>Gas Resources Kutubu Ltd</t>
  </si>
  <si>
    <t>Gas Resources Gigira Ltd</t>
  </si>
  <si>
    <t>Gas Resources Hides No.4 Ltd</t>
  </si>
  <si>
    <t>Gas Resources Angore Ltd</t>
  </si>
  <si>
    <t>Gas Resources Juha No.1 Ltd</t>
  </si>
  <si>
    <t>Petroleum Resources Kutubu</t>
  </si>
  <si>
    <t>Petroleum Resources Gobe Ltd</t>
  </si>
  <si>
    <t>Petroleum Resources Moran Ltd</t>
  </si>
  <si>
    <t>Barracuda Ltd</t>
  </si>
  <si>
    <t>Esso PNG Moran Ltd</t>
  </si>
  <si>
    <t>Esso PNG Juha Ltd</t>
  </si>
  <si>
    <t>Oil Search (PNG) Ltd</t>
  </si>
  <si>
    <t>https://www.oilsearch.com/home</t>
  </si>
  <si>
    <t>https://www.oilsearch.com/__data/assets/pdf_file/0005/46967/HC_OSL_AR19_Interactive_v2A_compressed.pdf</t>
  </si>
  <si>
    <t>Oil Search (Tumbudu) Ltd</t>
  </si>
  <si>
    <t xml:space="preserve">Merlin Pacific Oil Co. </t>
  </si>
  <si>
    <t>Merlin Petroleum Company</t>
  </si>
  <si>
    <t>Ampolex (PNG Petroleum) Inc</t>
  </si>
  <si>
    <t>Ampolex Highlands Ltd</t>
  </si>
  <si>
    <t>Ampolex (Papua New Guinea) Ltd</t>
  </si>
  <si>
    <t>Repsol (Talisman Niugini Pty Ltd)</t>
  </si>
  <si>
    <t>Horizon Oil (Papua) Ltd</t>
  </si>
  <si>
    <t>Santos (Hides) Ltd</t>
  </si>
  <si>
    <t>https://www.santos.com/what-we-do/five-core-assets/papua-new-guinea/</t>
  </si>
  <si>
    <t>https://www.santos.com/wp-content/uploads/2020/02/2019-annual-report.pdf</t>
  </si>
  <si>
    <t>Total E&amp;P PNG Limited</t>
  </si>
  <si>
    <t>https://www.dnb.com/business-directory/company-profiles.total_ep_png_limited.</t>
  </si>
  <si>
    <t>https://totalenergies.com/sites/g/files/nytnzq121/files/atoms/files/2019_total_universal_registration_document.pdf</t>
  </si>
  <si>
    <t>Barrick Niugini Ltd (Pogera Mine)</t>
  </si>
  <si>
    <t>Mining</t>
  </si>
  <si>
    <t>Gold, Silver</t>
  </si>
  <si>
    <t>https://www.barrick.com/operations/porgera/default.aspx</t>
  </si>
  <si>
    <t>https://s25.q4cdn.com/322814910/files/doc_financial/annual_reports/2020/Barrick-Annual-Report-2020.pdf</t>
  </si>
  <si>
    <t>Mineral Resources Enga Ltd</t>
  </si>
  <si>
    <t>K92 Mining Ltd (Kainantu)</t>
  </si>
  <si>
    <t>Gold, Silver, Copper</t>
  </si>
  <si>
    <t>https://k92mining.com/</t>
  </si>
  <si>
    <t>https://sec.report/otc/financial-report/243087</t>
  </si>
  <si>
    <t>Lihir Gold Ltd (Lihir/Luise Caldera mine)</t>
  </si>
  <si>
    <t>https://www.dnb.com/business-directory/company-profiles.lihir_gold_limited.</t>
  </si>
  <si>
    <t>https://www.newcrest.com/sites/default/files/2020-10/191004_Newcrest%20Annual%20Report_0.pdf</t>
  </si>
  <si>
    <t>MCC Ramu NiCo Ltd (Kurumbrukari Mine)</t>
  </si>
  <si>
    <t>Nickel, Cobalt, Chromite</t>
  </si>
  <si>
    <t>https://www.dnb.com/business-directory/company-profiles.mcc_ramu_nico_limited.</t>
  </si>
  <si>
    <t>https://www1.hkexnews.hk/listedco/listconews/sehk/2020/0415/2020041501297.pdf</t>
  </si>
  <si>
    <t>Morobe Consolidated Goldfields Ltd (Hidden Valley Mine)</t>
  </si>
  <si>
    <t>https://www.dnb.com/business-directory/company-profiles.morobe_consolidated_goldfields_limited.</t>
  </si>
  <si>
    <t>https://www.har.co.za/20/</t>
  </si>
  <si>
    <t>Simberi Gold Co. Ltd (Simberi Mine)</t>
  </si>
  <si>
    <t>https://www.dnb.com/business-directory/company-profiles.simberi_gold_company_ltd</t>
  </si>
  <si>
    <t>https://stbarbara.com.au/wp-content/uploads/2020/09/2020.09.18-asx-2020-annual-report.pdf</t>
  </si>
  <si>
    <t>PanAustrailia</t>
  </si>
  <si>
    <t>Harmony</t>
  </si>
  <si>
    <t>Ok Tedi Mining Limited</t>
  </si>
  <si>
    <t>https://oktedi.com</t>
  </si>
  <si>
    <t>https://oktedi.com/who-we-are/annual-performance/</t>
  </si>
  <si>
    <t>OK Tedi Power Limited</t>
  </si>
  <si>
    <t>Mineral Resources Ok Tedi Star No.2 Ltd</t>
  </si>
  <si>
    <t>Ok Tedi Resources Star Mountains Ltd (MRSM)</t>
  </si>
  <si>
    <t>OkTediMRSML</t>
  </si>
  <si>
    <t>Mineral Resources CMCA Ltd</t>
  </si>
  <si>
    <t>OkTediCMCA</t>
  </si>
  <si>
    <t>Ok Tedi Development Foundation</t>
  </si>
  <si>
    <t>Mineral Resources Development Co. Ltd</t>
  </si>
  <si>
    <t>Reporting projects' list</t>
  </si>
  <si>
    <t>Full project name</t>
  </si>
  <si>
    <t>Legal agreement reference number(s): contract, licence, lease, concession, …</t>
  </si>
  <si>
    <t>Affiliated companies, start with Operator</t>
  </si>
  <si>
    <t>Commodities (one commodity/row)</t>
  </si>
  <si>
    <t>Status</t>
  </si>
  <si>
    <t>Production (volume)</t>
  </si>
  <si>
    <t>Unit</t>
  </si>
  <si>
    <t>Production (value)</t>
  </si>
  <si>
    <t>Currency</t>
  </si>
  <si>
    <t>Lihir</t>
  </si>
  <si>
    <t>Lihir Gold Ltd</t>
  </si>
  <si>
    <t>Gold</t>
  </si>
  <si>
    <t>Production</t>
  </si>
  <si>
    <t>oz</t>
  </si>
  <si>
    <t>Silver</t>
  </si>
  <si>
    <t>Ok Tedi</t>
  </si>
  <si>
    <t>Copper</t>
  </si>
  <si>
    <t>tonnes</t>
  </si>
  <si>
    <t>Pogera</t>
  </si>
  <si>
    <t xml:space="preserve">Barrick (Niugini) Ltd </t>
  </si>
  <si>
    <t>Hidden Valley</t>
  </si>
  <si>
    <t>Morobe Consolidated Goldfields Ltd</t>
  </si>
  <si>
    <t>Kainantu</t>
  </si>
  <si>
    <t>K92 Mining Ltd</t>
  </si>
  <si>
    <t>Simberi</t>
  </si>
  <si>
    <t>Simberi Gold Co. Ltd</t>
  </si>
  <si>
    <t>Eddie Creek</t>
  </si>
  <si>
    <t>Niuminco</t>
  </si>
  <si>
    <t>Mt Crater</t>
  </si>
  <si>
    <t>Anomaly Ltd</t>
  </si>
  <si>
    <t>Ramu Nickel</t>
  </si>
  <si>
    <t>MCC Ramu Nico Ltd</t>
  </si>
  <si>
    <t>Nickel</t>
  </si>
  <si>
    <t>Cobalt</t>
  </si>
  <si>
    <t>Chromite</t>
  </si>
  <si>
    <r>
      <t xml:space="preserve">Address: </t>
    </r>
    <r>
      <rPr>
        <b/>
        <sz val="11"/>
        <color rgb="FF165B89"/>
        <rFont val="Franklin Gothic Book"/>
        <family val="2"/>
      </rPr>
      <t>Rådhusgata 26, 0151 Oslo, Norway</t>
    </r>
    <r>
      <rPr>
        <b/>
        <sz val="11"/>
        <color rgb="FF000000"/>
        <rFont val="Franklin Gothic Book"/>
        <family val="2"/>
      </rPr>
      <t xml:space="preserve">   </t>
    </r>
    <r>
      <rPr>
        <b/>
        <sz val="11"/>
        <color rgb="FF000000"/>
        <rFont val="Wingdings"/>
        <charset val="2"/>
      </rPr>
      <t></t>
    </r>
    <r>
      <rPr>
        <b/>
        <sz val="11"/>
        <color rgb="FF000000"/>
        <rFont val="Franklin Gothic Book"/>
        <family val="2"/>
      </rPr>
      <t xml:space="preserve">   P.O. Box: </t>
    </r>
    <r>
      <rPr>
        <b/>
        <sz val="11"/>
        <color rgb="FF165B89"/>
        <rFont val="Franklin Gothic Book"/>
        <family val="2"/>
      </rPr>
      <t>Postboks 340 Sentrum, 0101 Oslo, Norway</t>
    </r>
  </si>
  <si>
    <t>Summary data template</t>
  </si>
  <si>
    <t>#4.1 (Government revenues)  contains comprehensive data on government revenues per revenue stream, according to GFSM classification.</t>
  </si>
  <si>
    <r>
      <t xml:space="preserve">1. Enter the name of all government </t>
    </r>
    <r>
      <rPr>
        <b/>
        <i/>
        <sz val="11"/>
        <color theme="1"/>
        <rFont val="Franklin Gothic Book"/>
        <family val="2"/>
      </rPr>
      <t>Revenue streams</t>
    </r>
    <r>
      <rPr>
        <i/>
        <sz val="11"/>
        <color theme="1"/>
        <rFont val="Franklin Gothic Book"/>
        <family val="2"/>
      </rPr>
      <t xml:space="preserve"> for the extractive sectors, including revenues that fall below agreed materiality thresholds (one row should be used for each individual revenue stream and individual governmant entity)</t>
    </r>
  </si>
  <si>
    <r>
      <t xml:space="preserve">2. Enter the name of the </t>
    </r>
    <r>
      <rPr>
        <b/>
        <i/>
        <sz val="11"/>
        <rFont val="Franklin Gothic Book"/>
        <family val="2"/>
      </rPr>
      <t>receiving Government entity</t>
    </r>
    <r>
      <rPr>
        <i/>
        <sz val="11"/>
        <rFont val="Franklin Gothic Book"/>
        <family val="2"/>
      </rPr>
      <t>.</t>
    </r>
  </si>
  <si>
    <r>
      <t xml:space="preserve">3.Choose the </t>
    </r>
    <r>
      <rPr>
        <b/>
        <i/>
        <sz val="11"/>
        <rFont val="Franklin Gothic Book"/>
        <family val="2"/>
      </rPr>
      <t>Sector</t>
    </r>
    <r>
      <rPr>
        <i/>
        <sz val="11"/>
        <rFont val="Franklin Gothic Book"/>
        <family val="2"/>
      </rPr>
      <t xml:space="preserve"> and the </t>
    </r>
    <r>
      <rPr>
        <b/>
        <i/>
        <sz val="11"/>
        <rFont val="Franklin Gothic Book"/>
        <family val="2"/>
      </rPr>
      <t>GFS Classification</t>
    </r>
    <r>
      <rPr>
        <i/>
        <sz val="11"/>
        <rFont val="Franklin Gothic Book"/>
        <family val="2"/>
      </rPr>
      <t xml:space="preserve"> this revenue applies to. Use the guidance provided in the </t>
    </r>
    <r>
      <rPr>
        <i/>
        <u/>
        <sz val="11"/>
        <rFont val="Franklin Gothic Book"/>
        <family val="2"/>
      </rPr>
      <t>GFS Framework</t>
    </r>
    <r>
      <rPr>
        <b/>
        <i/>
        <u/>
        <sz val="11"/>
        <rFont val="Franklin Gothic Book"/>
        <family val="2"/>
      </rPr>
      <t xml:space="preserve"> </t>
    </r>
    <r>
      <rPr>
        <i/>
        <u/>
        <sz val="11"/>
        <rFont val="Franklin Gothic Book"/>
        <family val="2"/>
      </rPr>
      <t xml:space="preserve">for EITI reporting. </t>
    </r>
    <r>
      <rPr>
        <sz val="11"/>
        <rFont val="Franklin Gothic Book"/>
        <family val="2"/>
      </rPr>
      <t>If a revenue stream cannot be disaggregated by sector, chose "Other".</t>
    </r>
  </si>
  <si>
    <r>
      <t xml:space="preserve">4. In the </t>
    </r>
    <r>
      <rPr>
        <b/>
        <i/>
        <sz val="11"/>
        <rFont val="Franklin Gothic Book"/>
        <family val="2"/>
      </rPr>
      <t xml:space="preserve">Revenue value </t>
    </r>
    <r>
      <rPr>
        <i/>
        <sz val="11"/>
        <rFont val="Franklin Gothic Book"/>
        <family val="2"/>
      </rPr>
      <t>column, enter total figure of each revenue stream as disclosed by government, including revenues that were not reconciled.</t>
    </r>
  </si>
  <si>
    <t xml:space="preserve"> Remember: Governments receipts from companies on behalf of their employees should be excluded (e.g personal income tax PAYE, employee social security contributions, withholding tax) because they are not considered payments from companies to government.</t>
  </si>
  <si>
    <t>5. If there are any payments which are in the EITI Report, but cannot be matched with the GFS categories, please list them in the box below called "Additional information".</t>
  </si>
  <si>
    <t>Total government revenues from extractive sector (using GFS)</t>
  </si>
  <si>
    <t>GFS Framework for EITI Reporting</t>
  </si>
  <si>
    <r>
      <t>EITI Requirement 5.1.b</t>
    </r>
    <r>
      <rPr>
        <i/>
        <sz val="11"/>
        <rFont val="Franklin Gothic Book"/>
        <family val="2"/>
      </rPr>
      <t>: Revenue classification</t>
    </r>
  </si>
  <si>
    <r>
      <t>EITI Requirement 4.1.d</t>
    </r>
    <r>
      <rPr>
        <b/>
        <i/>
        <sz val="11"/>
        <rFont val="Franklin Gothic Book"/>
        <family val="2"/>
      </rPr>
      <t>: Full government disclosure</t>
    </r>
  </si>
  <si>
    <t>GFS Level 1</t>
  </si>
  <si>
    <t>GFS Level 2</t>
  </si>
  <si>
    <t>GFS Level 3</t>
  </si>
  <si>
    <t>GFS Level 4</t>
  </si>
  <si>
    <t>GFS Classification</t>
  </si>
  <si>
    <t>Revenue stream name</t>
  </si>
  <si>
    <t>Government entity</t>
  </si>
  <si>
    <t>Revenue value</t>
  </si>
  <si>
    <t>What is GFS?</t>
  </si>
  <si>
    <t>Licence fees (114521E)</t>
  </si>
  <si>
    <t>Mining, Oil &amp; Gas</t>
  </si>
  <si>
    <t>Environment permit fees and user charges</t>
  </si>
  <si>
    <t>Conservation Environment Protection Authority</t>
  </si>
  <si>
    <t>GFS, or Government Finance Statistics, is an international framework for categorising revenue streams so they are comparable across countries and time-periods. See full framework example below. The framework used below has been developped by the IMF and EITI International Secretariat.
The letter E in the GFS codes means that these are codes only used for revenues from extractives companies. The digits to the right were specifically designed for extractive sector companies.</t>
  </si>
  <si>
    <t>Taxes on permission to use goods or perform activities (1145E)</t>
  </si>
  <si>
    <t>Production Levy</t>
  </si>
  <si>
    <t>Mineral Resource Authority</t>
  </si>
  <si>
    <t>Royalties (1415E1)</t>
  </si>
  <si>
    <t>Royalties-MRA</t>
  </si>
  <si>
    <t>Alluvial Levies</t>
  </si>
  <si>
    <t>Royalties-DPE</t>
  </si>
  <si>
    <t>Department of Petroleum &amp; Energy</t>
  </si>
  <si>
    <r>
      <rPr>
        <i/>
        <u/>
        <sz val="11"/>
        <rFont val="Franklin Gothic Book"/>
        <family val="2"/>
      </rPr>
      <t>For more guidance, please visit</t>
    </r>
    <r>
      <rPr>
        <u/>
        <sz val="11"/>
        <color theme="10"/>
        <rFont val="Franklin Gothic Book"/>
        <family val="2"/>
      </rPr>
      <t xml:space="preserve"> </t>
    </r>
    <r>
      <rPr>
        <b/>
        <u/>
        <sz val="11"/>
        <color theme="10"/>
        <rFont val="Franklin Gothic Book"/>
        <family val="2"/>
      </rPr>
      <t>https://eiti.org/summary-data-template</t>
    </r>
  </si>
  <si>
    <t>Development Levy</t>
  </si>
  <si>
    <r>
      <rPr>
        <i/>
        <u/>
        <sz val="11"/>
        <rFont val="Franklin Gothic Book"/>
        <family val="2"/>
      </rPr>
      <t xml:space="preserve">or, </t>
    </r>
    <r>
      <rPr>
        <b/>
        <u/>
        <sz val="11"/>
        <color theme="10"/>
        <rFont val="Franklin Gothic Book"/>
        <family val="2"/>
      </rPr>
      <t>https://www.imf.org/external/np/sta/gfsm/</t>
    </r>
  </si>
  <si>
    <t>Licence fees</t>
  </si>
  <si>
    <t>Extraordinary taxes on income, profits and capital gains (1112E2)</t>
  </si>
  <si>
    <t>Addittional ProfitTax</t>
  </si>
  <si>
    <t>Internal Revenue Commission</t>
  </si>
  <si>
    <t>Taxes on goods and services (114E)</t>
  </si>
  <si>
    <t>Goods and services tax</t>
  </si>
  <si>
    <t>Taxes on payroll and workforce (112E)</t>
  </si>
  <si>
    <t>Salary and wage tax</t>
  </si>
  <si>
    <t>Ordinary taxes on income, profits and capital gains (1112E1)</t>
  </si>
  <si>
    <t>Mining and petroleum tax (Corporate Income Tax)</t>
  </si>
  <si>
    <t>Delivered or paid directly to government</t>
  </si>
  <si>
    <t>Business payments tax</t>
  </si>
  <si>
    <t>Taxes on income, profits and capital gains (111E)</t>
  </si>
  <si>
    <t>Interest withholding tax</t>
  </si>
  <si>
    <t>Administrative fees for government services (1422E)</t>
  </si>
  <si>
    <t>Management fee withholding tax</t>
  </si>
  <si>
    <t>Royallty withholding tax</t>
  </si>
  <si>
    <t>Taxes on International trade and transactions</t>
  </si>
  <si>
    <t>Foreign contractor withholding tax</t>
  </si>
  <si>
    <t>Compulsory transfers to government (Infrastructure)</t>
  </si>
  <si>
    <t>Infrastructure Tax Credit-DNPM</t>
  </si>
  <si>
    <t>Mining / Oil / Gas</t>
  </si>
  <si>
    <t>Income Tax Credit-IRC</t>
  </si>
  <si>
    <t>Dividends</t>
  </si>
  <si>
    <t>Import Taxes</t>
  </si>
  <si>
    <t>Import Excise Taxes</t>
  </si>
  <si>
    <t>Equity Distribution</t>
  </si>
  <si>
    <t>Add new rows as necessary, right click the row number to the left and select "Insert"</t>
  </si>
  <si>
    <t>Total in PGK</t>
  </si>
  <si>
    <t>Total in USD</t>
  </si>
  <si>
    <t>Additional information</t>
  </si>
  <si>
    <t>Any additional information that is not eligible for inclusion in the table above, please include below as comments.</t>
  </si>
  <si>
    <t>Comment 1</t>
  </si>
  <si>
    <t>Please include comments here. PAYE and withholding taxes are not paid on behalf of companies and should therefore be excluded</t>
  </si>
  <si>
    <t>Comment 2</t>
  </si>
  <si>
    <t>Insert additional rows as needed. E.g., the below table covers the excluded revenues</t>
  </si>
  <si>
    <t>Share of Sales</t>
  </si>
  <si>
    <t>Total</t>
  </si>
  <si>
    <t>Comment 3</t>
  </si>
  <si>
    <t>Please include comments here.</t>
  </si>
  <si>
    <t>Comment 4</t>
  </si>
  <si>
    <t>Comment 5</t>
  </si>
  <si>
    <r>
      <rPr>
        <b/>
        <sz val="11"/>
        <color rgb="FF000000"/>
        <rFont val="Franklin Gothic Book"/>
        <family val="2"/>
      </rPr>
      <t xml:space="preserve">#4.1 (Company data)  </t>
    </r>
    <r>
      <rPr>
        <sz val="11"/>
        <color rgb="FF000000"/>
        <rFont val="Franklin Gothic Book"/>
        <family val="2"/>
      </rPr>
      <t xml:space="preserve">contains company- and project-level data per revenue stream. </t>
    </r>
  </si>
  <si>
    <t>How to fill this sheet:</t>
  </si>
  <si>
    <r>
      <t>1. Enter</t>
    </r>
    <r>
      <rPr>
        <b/>
        <i/>
        <sz val="11"/>
        <color theme="1"/>
        <rFont val="Franklin Gothic Book"/>
        <family val="2"/>
      </rPr>
      <t xml:space="preserve"> company</t>
    </r>
    <r>
      <rPr>
        <i/>
        <sz val="11"/>
        <color theme="1"/>
        <rFont val="Franklin Gothic Book"/>
        <family val="2"/>
      </rPr>
      <t xml:space="preserve"> name from drop-down menu</t>
    </r>
  </si>
  <si>
    <r>
      <t xml:space="preserve">2. Enter </t>
    </r>
    <r>
      <rPr>
        <b/>
        <i/>
        <sz val="11"/>
        <color theme="1"/>
        <rFont val="Franklin Gothic Book"/>
        <family val="2"/>
      </rPr>
      <t>government collecting entity</t>
    </r>
    <r>
      <rPr>
        <i/>
        <sz val="11"/>
        <color theme="1"/>
        <rFont val="Franklin Gothic Book"/>
        <family val="2"/>
      </rPr>
      <t xml:space="preserve"> and </t>
    </r>
    <r>
      <rPr>
        <b/>
        <i/>
        <sz val="11"/>
        <color theme="1"/>
        <rFont val="Franklin Gothic Book"/>
        <family val="2"/>
      </rPr>
      <t>payment name</t>
    </r>
    <r>
      <rPr>
        <i/>
        <sz val="11"/>
        <color theme="1"/>
        <rFont val="Franklin Gothic Book"/>
        <family val="2"/>
      </rPr>
      <t xml:space="preserve"> from drop-down menu</t>
    </r>
  </si>
  <si>
    <r>
      <t xml:space="preserve">3. Indicate whether the payment stream is (i) </t>
    </r>
    <r>
      <rPr>
        <b/>
        <i/>
        <sz val="11"/>
        <color theme="1"/>
        <rFont val="Franklin Gothic Book"/>
        <family val="2"/>
      </rPr>
      <t>levied on project</t>
    </r>
    <r>
      <rPr>
        <i/>
        <sz val="11"/>
        <color theme="1"/>
        <rFont val="Franklin Gothic Book"/>
        <family val="2"/>
      </rPr>
      <t xml:space="preserve"> and (ii) </t>
    </r>
    <r>
      <rPr>
        <b/>
        <i/>
        <sz val="11"/>
        <color theme="1"/>
        <rFont val="Franklin Gothic Book"/>
        <family val="2"/>
      </rPr>
      <t>reported by project</t>
    </r>
  </si>
  <si>
    <r>
      <t xml:space="preserve">4. Enter project information: </t>
    </r>
    <r>
      <rPr>
        <b/>
        <i/>
        <sz val="11"/>
        <color theme="1"/>
        <rFont val="Franklin Gothic Book"/>
        <family val="2"/>
      </rPr>
      <t>project name</t>
    </r>
    <r>
      <rPr>
        <i/>
        <sz val="11"/>
        <color theme="1"/>
        <rFont val="Franklin Gothic Book"/>
        <family val="2"/>
      </rPr>
      <t xml:space="preserve">, and </t>
    </r>
    <r>
      <rPr>
        <b/>
        <i/>
        <sz val="11"/>
        <color theme="1"/>
        <rFont val="Franklin Gothic Book"/>
        <family val="2"/>
      </rPr>
      <t>reporting currency</t>
    </r>
  </si>
  <si>
    <r>
      <t xml:space="preserve">5. Enter </t>
    </r>
    <r>
      <rPr>
        <b/>
        <i/>
        <sz val="11"/>
        <color theme="1"/>
        <rFont val="Franklin Gothic Book"/>
        <family val="2"/>
      </rPr>
      <t>revenue value</t>
    </r>
    <r>
      <rPr>
        <i/>
        <sz val="11"/>
        <color theme="1"/>
        <rFont val="Franklin Gothic Book"/>
        <family val="2"/>
      </rPr>
      <t>,</t>
    </r>
    <r>
      <rPr>
        <i/>
        <u/>
        <sz val="11"/>
        <color theme="1"/>
        <rFont val="Franklin Gothic Book"/>
        <family val="2"/>
      </rPr>
      <t>as disclosed by government</t>
    </r>
    <r>
      <rPr>
        <i/>
        <sz val="11"/>
        <color theme="1"/>
        <rFont val="Franklin Gothic Book"/>
        <family val="2"/>
      </rPr>
      <t xml:space="preserve"> and any </t>
    </r>
    <r>
      <rPr>
        <b/>
        <i/>
        <sz val="11"/>
        <color theme="1"/>
        <rFont val="Franklin Gothic Book"/>
        <family val="2"/>
      </rPr>
      <t>comments</t>
    </r>
    <r>
      <rPr>
        <i/>
        <sz val="11"/>
        <color theme="1"/>
        <rFont val="Franklin Gothic Book"/>
        <family val="2"/>
      </rPr>
      <t xml:space="preserve"> that may be applicable</t>
    </r>
  </si>
  <si>
    <t>Government revenues by company and project</t>
  </si>
  <si>
    <r>
      <t>EITI Requirement 4.1.c</t>
    </r>
    <r>
      <rPr>
        <b/>
        <i/>
        <sz val="11"/>
        <rFont val="Franklin Gothic Book"/>
        <family val="2"/>
      </rPr>
      <t xml:space="preserve">: Company payments ;  </t>
    </r>
    <r>
      <rPr>
        <b/>
        <i/>
        <u/>
        <sz val="11"/>
        <color rgb="FF0076AF"/>
        <rFont val="Franklin Gothic Book"/>
        <family val="2"/>
      </rPr>
      <t>EITI Requirement 4.7</t>
    </r>
    <r>
      <rPr>
        <b/>
        <i/>
        <sz val="11"/>
        <rFont val="Franklin Gothic Book"/>
        <family val="2"/>
      </rPr>
      <t>: Project-level reporting</t>
    </r>
  </si>
  <si>
    <t>Company</t>
  </si>
  <si>
    <t>Levied on project (Y/N)</t>
  </si>
  <si>
    <t>Reported by project (Y/N)</t>
  </si>
  <si>
    <t>Project name</t>
  </si>
  <si>
    <t>Reporting currency</t>
  </si>
  <si>
    <t>Payment made in-kind (Y/N)</t>
  </si>
  <si>
    <t>In-kind volume (if applicable)</t>
  </si>
  <si>
    <t>Unit (if applicable)</t>
  </si>
  <si>
    <t>Comments</t>
  </si>
  <si>
    <t>Has the company provided the required quality assurances for its disclosures?</t>
  </si>
  <si>
    <t>Corporate Income Tax</t>
  </si>
  <si>
    <t>Salary and Wages Tax</t>
  </si>
  <si>
    <t>Foreign Currecny Withholding Tax</t>
  </si>
  <si>
    <t>Interest Withholding Tax</t>
  </si>
  <si>
    <t>Business Payment Tax</t>
  </si>
  <si>
    <t>Royalty Withholding Tax</t>
  </si>
  <si>
    <t>Goods and Service Tax</t>
  </si>
  <si>
    <t xml:space="preserve">Mining-Production Levy </t>
  </si>
  <si>
    <t>Mining- Royalty Payments (Local/Provincial Govt)</t>
  </si>
  <si>
    <t>Mining - Royalty Payments (Landowners)</t>
  </si>
  <si>
    <t>Import Excise Duties</t>
  </si>
  <si>
    <t>Department of National Planning &amp; Monitoring</t>
  </si>
  <si>
    <t>Income Tax Credit-DNPM</t>
  </si>
  <si>
    <t>Conservation &amp; Environment Protection Authority</t>
  </si>
  <si>
    <t>Environment Permit Fees-CEPA</t>
  </si>
  <si>
    <t>Ok Tedi Mining Ltd</t>
  </si>
  <si>
    <t>Mining - Production Levy</t>
  </si>
  <si>
    <t>Mining - Royalty Payments (Local/Provincial Govt)</t>
  </si>
  <si>
    <t>Dividends (Treasury)</t>
  </si>
  <si>
    <t>Ok Tedi Power Ltd</t>
  </si>
  <si>
    <t>Yes/No</t>
  </si>
  <si>
    <t>Mineral  Resources Ok Tedi Star No.2 Ltd</t>
  </si>
  <si>
    <t>Mineral  Resources Star Mountains Ltd (MRSM)</t>
  </si>
  <si>
    <t>Barrick (Niugini) Ltd</t>
  </si>
  <si>
    <t>Foreign Company Withholding Tax</t>
  </si>
  <si>
    <t>Income Tax Credit - IRC</t>
  </si>
  <si>
    <t>Management Fee Withholding Tax-IRC</t>
  </si>
  <si>
    <t>Income Tax Credit -DNPM</t>
  </si>
  <si>
    <t>MCC Ramu NiCo Ltd</t>
  </si>
  <si>
    <t xml:space="preserve"> Mineral Resource Authority</t>
  </si>
  <si>
    <t xml:space="preserve">Kainantu </t>
  </si>
  <si>
    <t>Mining - Royalty Payments ( Local/Provincial Govt)</t>
  </si>
  <si>
    <t>PanAustralia</t>
  </si>
  <si>
    <t>Frieda River</t>
  </si>
  <si>
    <t>Wafi-Golpu</t>
  </si>
  <si>
    <t>Oil Projects</t>
  </si>
  <si>
    <t>Addittional Profit Tax</t>
  </si>
  <si>
    <t>Kutubu</t>
  </si>
  <si>
    <t>Merlin Pacific Oil Co.</t>
  </si>
  <si>
    <t>Gobe (SEG)</t>
  </si>
  <si>
    <t>Gobe</t>
  </si>
  <si>
    <t>Moran</t>
  </si>
  <si>
    <t>NW Moran</t>
  </si>
  <si>
    <t>PNG LNG</t>
  </si>
  <si>
    <t>Oil &amp; Gas - Development Levy</t>
  </si>
  <si>
    <t>Oil &amp; Gas - Royalties</t>
  </si>
  <si>
    <t>Income Tax Credit - DNPM</t>
  </si>
  <si>
    <t>ExxonMobil PNG Ltd</t>
  </si>
  <si>
    <t>Lavana Ltd</t>
  </si>
  <si>
    <t>Total E &amp; P PNG Ltd</t>
  </si>
  <si>
    <t>Papua LNG Project (Elk-Antelope)</t>
  </si>
  <si>
    <t>Repsol (Talisman NiugininPty Ltd)</t>
  </si>
  <si>
    <t>Stanley Project</t>
  </si>
  <si>
    <t>Trustee</t>
  </si>
  <si>
    <t>Quest Exploration Drilling (PNG) Ltd</t>
  </si>
  <si>
    <t>Harmony Gold (PNG) Exploration Ltd</t>
  </si>
  <si>
    <t>Various</t>
  </si>
  <si>
    <t>Requirement 4.2: In-kind revenues</t>
  </si>
  <si>
    <t>Objective of Requirement 4.2</t>
  </si>
  <si>
    <t>Progress towards the objective of the requirement, to ensure transparency in the the sale of in-kind revenues of minerals, oil and gas to allow the public to assess whether the sales values correspond to market values and ensure the traceability of the proceeds from the sale of those commodities to the national Treasury.</t>
  </si>
  <si>
    <t>Is Requirement 4.2 applicable in the period under review?</t>
  </si>
  <si>
    <t xml:space="preserve">There is consensus among stakeholders consulted that this requirement was not applicable to PNG under the current fiscal regime. 
 However, to further increase transparency for the 2019 report, it was agreed by the MSG to include a sub-national payments framework to be completed by reporting entities. This includes cash and in-kind payments to the sub-national level.  
The in-kind payments include infrastructure, health and education programmes such as in the case of Lihir Gold Ltd (page 86), Morobi Consolidated Goldfields (page 88). The report includes these types of payment in subnational payments made unilaterally by the companies.  </t>
  </si>
  <si>
    <t>Ask for copy of MSG discussion that in-kind payments are not applicable</t>
  </si>
  <si>
    <t>Were the proceeds of the sales of the state's in-kind revenues considered material by the MSG in the period under review?</t>
  </si>
  <si>
    <t>7th PNG EITI Report, pp.26</t>
  </si>
  <si>
    <t>The State Owned Enterprises (SOE) Scoping Study published in May 2021 makes recommendations for implementation of requirement 4.2. MSG and National Secretariate to address recommendations</t>
  </si>
  <si>
    <t>Does the government disclose data on in-kind revenues and sales of state share of production?</t>
  </si>
  <si>
    <t>Clarify with MSG :  if the previous issue on GloCO which seems to be seeling commodities in behalf of the PNG LNG consortium still exists.</t>
  </si>
  <si>
    <t>If yes, what was the volume received?</t>
  </si>
  <si>
    <t>Not Appllicable</t>
  </si>
  <si>
    <t>If yes, what was sold?</t>
  </si>
  <si>
    <t>If yes, do disclosures include payments related to swap agreements and resource-backed loans, where applicable?</t>
  </si>
  <si>
    <t>If yes, has the MSG considered whether disclosures should be broken down by individual sale, type of product and price?</t>
  </si>
  <si>
    <t>If yes, do public disclosures include information such as the type of product, price, market and sale volume, ownership of the product sold and nature of contract?</t>
  </si>
  <si>
    <t>If yes, do public disclosures include description of the process for selecting the buying companies, the technical and financial criteria used to make the selection, the list of selected buying companies, any material deviations from the applicable legal and regulatory framework governing the selection of buying companies, and the related sales agreements?</t>
  </si>
  <si>
    <t>If yes, have companies buying oil, gas and minerals from the state, including state-owned enterprises (or appointed third parties), disclosed volumes received from the state or state-owned enterprise and payments made for the purchase of oil, gas and solid minerals?</t>
  </si>
  <si>
    <t>If yes, has the MSG considered the reliability of data on in-kind revenues and considered further efforts to address any gaps, inconsistencies and irregularities in the information disclosed in accordance with Requirement 4.9?</t>
  </si>
  <si>
    <t>If yes, what was the total revenue transferred to the state from the proceeds of oil, gas and minerals sold?</t>
  </si>
  <si>
    <t>Requirement 4.3: Infrastructure provisions and barter arrangements</t>
  </si>
  <si>
    <t>Objective of Requirement 4.3</t>
  </si>
  <si>
    <t xml:space="preserve">Progress towards the objective of the requirement, to ensure public understanding of infrastructure provisions and barter-type arrangements, which provide a significant share of government benefits from an extractive project, that is commensurate with other cash-based company payments and government revenues from oil, gas and mining, as a basis for comparability to conventional agreements.  </t>
  </si>
  <si>
    <t>Is Requirement 4.3 applicable in the period under review?</t>
  </si>
  <si>
    <t xml:space="preserve">The report (page 26) refers this requirement to latest PNG validation finding that req #4.3 is not applicable to PNG context.  
In page 167 of the report, MRDC also reinforce the latest validation finding that apart from a share of production, it does not have any infrastructure provision or barter arrangement in place.  
However, the report refers to infrastructure development grants provided by companies (page 10), infrastructure development by extractive companies (page 65). </t>
  </si>
  <si>
    <t xml:space="preserve">Needs to clarify if these infrastructure grant have implication for the reduction in royalties and taxes paid by the companies to government or part of the fiscal regime thus have implication for reduced average effective tax rate (government rake).   </t>
  </si>
  <si>
    <t>Does the government disclose information on barter and infrastructure agreements?</t>
  </si>
  <si>
    <t>If yes, do public disclosures provide an explanation of key terms of the agreements?</t>
  </si>
  <si>
    <t>If yes, do public disclosures provide an explanation of the resources which have been pledged by the state under these agreements?</t>
  </si>
  <si>
    <t>If yes, what was the total value of the resources which have been pledged by the state under these agreements?</t>
  </si>
  <si>
    <t>If yes, do public disclosures provide an explanation of the value of the balancing benefit stream (e.g. infrastructure works) under these agreements?</t>
  </si>
  <si>
    <t>If yes, what was the total value of the balancing benefit stream (e.g. infrastructure works) under these agreements?</t>
  </si>
  <si>
    <t>If yes, do public disclosures provide an explanation of materiality of these agreements relative to conventional contracts?</t>
  </si>
  <si>
    <t>Has the MSG agreed a procedure to address data quality and assurance of the information set out above, in accordance with Requirement 4.9?</t>
  </si>
  <si>
    <t>Requirement 4.4: Transportation revenues</t>
  </si>
  <si>
    <t>Objective of Requirement 4.4</t>
  </si>
  <si>
    <t>Progress towards the objective of the requirement, to ensure transparency in government and SOE revenues from the transit of oil, gas and minerals as a basis for promoting greater accountability in extractive commodity transportation arrangements involving the state or SOEs.</t>
  </si>
  <si>
    <t>Is Requirement 4.4 applicable in the period under review?</t>
  </si>
  <si>
    <t xml:space="preserve">The report confirmed transport revenues do not exist in PNG except for pipeline fees but not material (page 26).  </t>
  </si>
  <si>
    <t>Does the government disclose information on transportation revenues?</t>
  </si>
  <si>
    <t xml:space="preserve">7th PNG EITI Report, pp.26  Treasury has confirmed that transport revenues do not exist in PNG except for pipeline fees, which are not </t>
  </si>
  <si>
    <t>If yes, have these revenue flows  been fully disclosed to levels of disaggregation commensurate with other payments and revenues streams (4.7), with appropriate attention to data quality (4.9)?</t>
  </si>
  <si>
    <t>If yes, what was the total revenues received from transportation of commodities?</t>
  </si>
  <si>
    <t>If yes, has EITI implementation covered additional disclosures in accordance with Requirement 4.4.i-v?</t>
  </si>
  <si>
    <t>If no, has the MSG documented and explained the barriers to provision of this information and any government plans to overcome these barriers?</t>
  </si>
  <si>
    <t>Requirement 4.5: Transactions between SOEs and government entities</t>
  </si>
  <si>
    <t>Objective of Requirement 4.5</t>
  </si>
  <si>
    <t>Progress towards the objective of the requirement, to ensure the traceability of payments and transfers involving SOEs and strengthen public understanding of whether revenues accruable to the state are effectively transferred to the state and of the level of state financial support for SOEs.</t>
  </si>
  <si>
    <t>Is Requirement 4.5 applicable in the period under review?</t>
  </si>
  <si>
    <t>Does the government disclose information on SOE transactions?</t>
  </si>
  <si>
    <t xml:space="preserve">Yes, through EITI reporting </t>
  </si>
  <si>
    <t>7th PNG EITI Report pp. 157-158, 161-163, 168-171</t>
  </si>
  <si>
    <t xml:space="preserve">The MSG include all SOEs that have interests in resource companies or receive or make payments to the resources sector as material reporting entities (Page 30).  
In Table 11 (Page 37) the report provides information about revenues received by each SOEs and subsidiaries and revenues paid to relevant government entities such as dividends paid to treasury, taxes to IRC, production levy to MRA, etc.  </t>
  </si>
  <si>
    <t>If yes, are company payments to SOEs considered material by the MSG?</t>
  </si>
  <si>
    <t>7th PNG EITI Report pp. 30 - 40 - MSG considered both the qualitative and quantitatvie definition of of the term "Material". Therefore based on this, the material quantitive threshold is 2% which is equivalent to PGK79 million which is within the range applied in Auditing financial accounts. 98% of PNG government extractive sector revenue is considered material</t>
  </si>
  <si>
    <t>Yes as above</t>
  </si>
  <si>
    <t>If yes, what were the total revenues received from companies by SOEs?</t>
  </si>
  <si>
    <t>5,940,276,971.00 PGK</t>
  </si>
  <si>
    <t>If yes, are government transfers to SOEs considered material by the MSG?</t>
  </si>
  <si>
    <t xml:space="preserve">No information about government transfers to SOEs </t>
  </si>
  <si>
    <t xml:space="preserve">Clarify with MSG if there is transfer from government to SOEs and if they are material </t>
  </si>
  <si>
    <t>If yes, what wre the total revenues received from government by SOEs?</t>
  </si>
  <si>
    <t xml:space="preserve"> </t>
  </si>
  <si>
    <t>If yes, are SOEs transfers to government considered material by the MSG?</t>
  </si>
  <si>
    <t>7th PNG EITI Report pp. 38</t>
  </si>
  <si>
    <t>Information is available in Table 8 (Page 32-35)</t>
  </si>
  <si>
    <t>If yes, what were the total revenues received by government from SOEs?</t>
  </si>
  <si>
    <t>1,309,095,239.00 PGK</t>
  </si>
  <si>
    <t>7th PNG EITI Report pp. 158 (Table 103, 105 and 106)</t>
  </si>
  <si>
    <t>If yes, has the MSG demonstrated that the disclosures above are comprehensive and reliable?</t>
  </si>
  <si>
    <t xml:space="preserve">Comprehensiveness and reliability of SOEs and government data have been a challenge as stated by the IA in page 77. </t>
  </si>
  <si>
    <t>Clarify with MSG what steps have been taken since 2018 to improve this area?</t>
  </si>
  <si>
    <t>Requirement 4.6: Subnational direct payments</t>
  </si>
  <si>
    <t>Objective of Requirement 4.6</t>
  </si>
  <si>
    <t>Progress towards the objective of the requirement, to enable stakeholders to gain an understanding of benefits that accrue to local governments through transparency in companies’ direct payments to subnational entities and to strengthen public oversight of subnational governments’ management of their internally-generated extractive revenues.</t>
  </si>
  <si>
    <t>Is Requirement 4.6 applicable in the period under review?</t>
  </si>
  <si>
    <t>Does the government disclose information on direct subnational payments?</t>
  </si>
  <si>
    <t>7th PNG EITI Report pp. 80 - 96 &amp; pp. 158</t>
  </si>
  <si>
    <t xml:space="preserve">Some companies unilaterally disclosed payments to subnational governments and communities (Page 84-96). However, these payments are categorised as social expenditures such as compensation to landowners, scholarships to local communities, community development programmes, Business development programmes for communities, etc (page 79) 
The IA suggested in the report that:  
Information relating to transfers and payments to subnational (provincial and local level) governments in PNG is difficult to obtain and reconcile. This is due to payment data at the subnational level being either non-existent, too aggregated to be meaningful, inconsistent across projects, or difficult to obtain, in part due to a lack of record keeping by provincial-level governments. (Page 80). </t>
  </si>
  <si>
    <t xml:space="preserve">A recurring issue in PNG EITI Reports is the lack of clarity between direct payments and transfers. MSG to clarify types of payments fall under subnational direct payments (payments made directly by companies to LGUs) and subnational transfers (intergovernmental transfers). </t>
  </si>
  <si>
    <t>If yes, what was the total sub-national revenues received?</t>
  </si>
  <si>
    <t>411,641,758.00 PGK</t>
  </si>
  <si>
    <t>If yes, are there public disclosures by all companies of their material direct subnational payments?</t>
  </si>
  <si>
    <t>7th PNG EITI Report pp. 84 - 96</t>
  </si>
  <si>
    <t>If yes, are there public disclosures by all local government units of material revenues collected from companies' direct subnational payments?</t>
  </si>
  <si>
    <t xml:space="preserve">Clarify with MSG if local governments disclose subnational payments or unilaterally made by companies . Check the comprehensivess of LGs that have disclosed. </t>
  </si>
  <si>
    <t xml:space="preserve">If yes, has the MSG agreed a procedure to address data quality and assurance on subnational payments, in accordance with Requirement 4.9? </t>
  </si>
  <si>
    <t>Yes, through EITI Reporting and systematically disclosed.</t>
  </si>
  <si>
    <t>http://www.pngeiti.org.pg/wp-content/uploads/2019/07/PNGEITI-Subnational-Payments-Report-May-2019.pdf</t>
  </si>
  <si>
    <t>7Th PNG EITI Report pp. XIV (Multi-Stakeholder Group Statement)</t>
  </si>
  <si>
    <t>Requirement 4.7: Level of disaggregation</t>
  </si>
  <si>
    <t>Objective of Requirement 4.7</t>
  </si>
  <si>
    <t>Progress towards the objective of the requirement, to ensure disaggregation in public disclosures of company payments and government revenues from oil, gas and mining that enables the public to assess the extent to which the government can monitor its revenue receipts as defined by its legal and fiscal framework, and that the government receives what it ought to from each individual extractive project.</t>
  </si>
  <si>
    <t>Are public disclosures of financial data (on material company payments and government revenues) disaggregated by individual company, government entity and revenue stream?</t>
  </si>
  <si>
    <t>7th PNG EITI report pp. 30 - 40</t>
  </si>
  <si>
    <t xml:space="preserve">Table 8 describe companies financial data disclosed by project, PNG entity and parent company (page 32-35) 
Table 14 describe government financial data by revenue streams, by government entity (page 39-40) 
Table 11 describe SOEs revenue streams received and paid to relevant government entities. However, the data is not complete (some amounts are disclosed, some are not), page 37. </t>
  </si>
  <si>
    <t xml:space="preserve">Not sure if disclosure is by project. The tab on revenues only designated the project by the name of the location (e.g. Lihir) but this is not enough to conclude there is PLR. </t>
  </si>
  <si>
    <t>Has the MSG documented which forms of legal agreements constitute a project, in accordance with to the definition in Requirement 4.7?</t>
  </si>
  <si>
    <t xml:space="preserve">7th PNG EITI report pp. 30 </t>
  </si>
  <si>
    <t>Has the MSG documented which legal agreements are substantially interconnected or overarching?</t>
  </si>
  <si>
    <t xml:space="preserve">7th PNG EITI  Report pp. 30 </t>
  </si>
  <si>
    <t xml:space="preserve">Is there a documentation of the discussion on interconnected projects? </t>
  </si>
  <si>
    <t>Has the MSG documented which revenue streams are imposed or levied at the level of the legal agreements, not at a company level?</t>
  </si>
  <si>
    <t>7th PNG EITI Report pp. 30</t>
  </si>
  <si>
    <t>Has the MSG ensured that the relevant revenue data is disaggregated by individual project?</t>
  </si>
  <si>
    <t>7th PNG EITI Report pp. 31 - 36</t>
  </si>
  <si>
    <t>What percentage of revenues levied by project has been reported by project?</t>
  </si>
  <si>
    <t>97. 84%</t>
  </si>
  <si>
    <t>7th PNG EITI Report pp. 40</t>
  </si>
  <si>
    <t>Requirement 4.8: Data timeliness</t>
  </si>
  <si>
    <t>Objective of Requirement 4.8</t>
  </si>
  <si>
    <t>Progress towards the objective of the requirement, to ensure that public disclosures of company payments and government revenues from oil, gas and mining are sufficiently timely to be relevant to inform public debate and policy-making.</t>
  </si>
  <si>
    <t>Data timeliness (no. of years from fiscal year end to publication)</t>
  </si>
  <si>
    <t>Latest report was published in July 2021 for FY 2019.</t>
  </si>
  <si>
    <t>Has the MSG approved the period for reporting?</t>
  </si>
  <si>
    <t>Refer to the work plans https://www.pngeiti.org.pg/pngeiti-annual-workplans/</t>
  </si>
  <si>
    <t>Are there any plans by the MSG to improve the timeliness of EITI data disclosures?</t>
  </si>
  <si>
    <t>7th PNG EITI Report pp. xiv ( Multi-Stakeholder Group Statement)</t>
  </si>
  <si>
    <t>Requirement 4.9: Data quality</t>
  </si>
  <si>
    <t>Objective of Requirement 4.9</t>
  </si>
  <si>
    <t>Progress towards the objective of the requirement, to ensure that appropriate measures have been taken to ensure the reliability of disclosures of company payments and government revenues from oil, gas and mining. The aim is for the EITI to contribute to strengthening routine government and company audit and assurance systems and practices and ensure that stakeholders can have confidence in the reliability of the financial data on payments and revenues.</t>
  </si>
  <si>
    <t>Does government routinely disclose financial data from Requirement 4.1 (full disclosure of revenue streams for both government and companies) of the the EITI Standard?</t>
  </si>
  <si>
    <t xml:space="preserve">Yes, throught EITI reporting </t>
  </si>
  <si>
    <t>7th PNG EITI Report pp. 174,  176- 178</t>
  </si>
  <si>
    <t>Is the data subject to credible, independent audits, applying international standards?</t>
  </si>
  <si>
    <t xml:space="preserve">The IA stated that more than 90% of reporting companies submitted their data template are authorized by company representative and that their accounts are audited to international standards (page 13). Details of whether reporting companies are audited or not are listed in Table 111 (page 176-178).  
 This is in stark contrast with reporting SOEs and government entities. The report states that most government departments and agencies, and some SOEs do not yet have audited statements for the reporting period and they previous audits indicate serious flaws (details are provided in Table 112 for government entities and Table 113 for SOEs).  
The report also states that other than reconciliation, there is no quality assurance, audit, verification or review has been undertaken to test accuracy of data provided by SOES and government entities (page 198).   </t>
  </si>
  <si>
    <t xml:space="preserve">what is the % of revenue of companies with no audited data? </t>
  </si>
  <si>
    <t>Are government agencies subject to credible, independent audits?</t>
  </si>
  <si>
    <t xml:space="preserve">The report states that most government departments and agencies, and some SOEs do not yet have audited statements for the reporting period and they previous audits indicate serious flaws (details are provided in Table 112 for government entities and Table 113 for SOEs).  The report provides assessment of the SOEs audits in Table 136 (page 198).  
Ok Tedi Mining : no audited financial report  
KPHL : the report provide this link www.ago.gov.pg/images/Part_4 for the 2018 audited financial report but this link cannot be open.  
MRDC : the report provides this link www.ago.gov.pg/images/Part_4 for the 2016 audited report but this link cannot be open.  
There is no information of audited financial report for KMHL.  
No information about audited financial reports of all SOE subsidiaries. </t>
  </si>
  <si>
    <t>Government audits database</t>
  </si>
  <si>
    <t xml:space="preserve">Not available </t>
  </si>
  <si>
    <t>Are companies subject to credible, independent audits?</t>
  </si>
  <si>
    <t>7th PNG EITI Report pp. 198 - 200</t>
  </si>
  <si>
    <t xml:space="preserve">The IA stated that more than 90% of reporting companies submitted their data template are authorized by company representative and that their accounts are audited to international standards (page 13). Details of whether reporting companies are audited or not are listed in Table 111 (page 176-178).  </t>
  </si>
  <si>
    <t xml:space="preserve">Is 90% here in terms of revenues or number of companies? The requirenment is % of revenues. </t>
  </si>
  <si>
    <t>Company audits database</t>
  </si>
  <si>
    <t>Has the MSG applied a procedure for disclosures in accordance with the standard procedures endorsed by the EITI Board?</t>
  </si>
  <si>
    <t>7th PNG EITI Report pp. 174</t>
  </si>
  <si>
    <t>If yes, has the MSG agreed on reporting templates?</t>
  </si>
  <si>
    <t xml:space="preserve">Need to clarify this further. There is information about a training session on the reporting template facilitated by EITI PNG secretariat and IA (page 174) but there is no information if these reporting templates have been approved by the MSG     </t>
  </si>
  <si>
    <t>If yes, has the MSG undertaken a review of the audit and assurance procedures in companies and government entities participating in EITI reporting?</t>
  </si>
  <si>
    <t xml:space="preserve">The report states that the accounts of 90% of reporting companies submitted their data template are in line with international standards (page 13).  
On the contrary, the report states that most reporting government agencies and SOEs do not have audited financial reports and that these data are not reliable (page 198).    </t>
  </si>
  <si>
    <t>If yes, has the MSG agreed on the assurances to be provided by the participating companies and government entities to assure the credibility of the data, including the types of assurances to be provided, the options considered and the rationale for the agreed assurances?</t>
  </si>
  <si>
    <t>7th PNG EITI Report pp. 198</t>
  </si>
  <si>
    <t xml:space="preserve">Double check with the MSG  </t>
  </si>
  <si>
    <t>If yes, has the MSG agreed on appropriate provisions for safeguarding confidential information?</t>
  </si>
  <si>
    <t xml:space="preserve">No information in the report if the MSG has agreed on safeguarding confidential information.  
 The report, however, states that the reporting template has password unique to every reporting entity and only IA and authorized representative would have access to reporting templates (page 174).  
 It is not clear how to qualify “confidential information” and if “reporting templates” would be defined as confidential. </t>
  </si>
  <si>
    <t>Clarify this with the MSG</t>
  </si>
  <si>
    <t xml:space="preserve">If yes, have the names of companies that did not provide the required quality assurances for their EITI disclosures been published, including the materiality of each company's payments to government? </t>
  </si>
  <si>
    <t>7th PNG EITI Report pp. 174 - 178, pp. 30 - 35 &amp; pp. 38 - 40</t>
  </si>
  <si>
    <t xml:space="preserve">As mentioned above private companies have audited financial statements in line with the international standard. This is not the case with SOEs and government entities </t>
  </si>
  <si>
    <t>If yes, is there a summary of the key findings from the assessment of the comprehensiveness and reliability of the data disclosed by companies and government entities in the public domain?</t>
  </si>
  <si>
    <t xml:space="preserve">It’s available in page 13 for reporting companies and page 198 for the reporting government entities and SOEs (See also above: 4.9 a-b) </t>
  </si>
  <si>
    <t>If yes, has any non-financial (contextual) information been clearly sourced?</t>
  </si>
  <si>
    <t xml:space="preserve">The report provides footnotes as source for non-financial information such as UNDP human development report (page 4), corruption perception index 2019 (page 4), EITI Standard “What is a Beneficial Owner”, (Page 10), Beneficial Ownership Final Report (Page 10), etc.  </t>
  </si>
  <si>
    <t>Has the EITI Board have approved that the MSG deviates from the standard procedures of Requirement 4.9.b (based on application to deviate from standard procedures and Board decision of approval)?</t>
  </si>
  <si>
    <t>Yes, Systematically disclosed</t>
  </si>
  <si>
    <t>https://eiti.org/board-decision/2020-31</t>
  </si>
  <si>
    <t xml:space="preserve">Clarify this with MSG as req. 4.9 b is about  procedure to address data quality and assurance </t>
  </si>
  <si>
    <t>If yes, is there public documentation that the rationale for deviating from the standard procedures continues to be applicable?</t>
  </si>
  <si>
    <t>If yes, is there public disclosure of the data required by the EITI Standard in requisite detail?</t>
  </si>
  <si>
    <t>7th PNG EITI Report pp. 13 - 15 , 77 and 174 - 203</t>
  </si>
  <si>
    <t>If yes, are public disclosures of financial data subject to credible, independent audits, applying international standards?</t>
  </si>
  <si>
    <t>If yes, is there sufficient data retention of historical data?</t>
  </si>
  <si>
    <t>Requirement 5.1: Distribution of revenues</t>
  </si>
  <si>
    <t>Objective of Requirement 5.1</t>
  </si>
  <si>
    <t>Progress towards the objective of the requirement, to ensure the traceability of extractive revenues to the national budget and ensure the same level of transparency and accountability for extractive revenues that are not recorded in the national budget.</t>
  </si>
  <si>
    <t>Does the government publicly clarify whether all extractive sector revenues are recorded in the national budget (i.e. enter the government's consolidated / single-treasury account)?</t>
  </si>
  <si>
    <t>http://www.treasury.gov.pg/html/national_budget/files/2021/2021%20Budget%20Volume%201.pdf</t>
  </si>
  <si>
    <t>7th PNG EITI Report pp. 2, 6 -9, 71 - 77</t>
  </si>
  <si>
    <t>Table 18 (page 48) indicate extractive industry revenues in the national budget. The revenue streams include mining and petroleum corporate income taxes, mining and petroleum dividends. The national budget also records total petroleum and mining taxes and non-tax revenues as well as contribution of mining and petroleum revenues to government revenues</t>
  </si>
  <si>
    <t>Does the government publicly disclose the specific types of revenues that are not recorded in the budget?</t>
  </si>
  <si>
    <t> The FY 2019 report states that national budget does not record other revenue streams such as receipts by landowners, equity distributions by SOEs, or social expenditure. Nor do they include revenues received by government agencies such as salaries and wage taxes, foreign contractor witholding taxes, DPE and MRA fees, and environmental charges (page 48)</t>
  </si>
  <si>
    <t xml:space="preserve">Clarify with MSG if these types of revenue streams can be categorised as extra-budgetary </t>
  </si>
  <si>
    <t>Does the government publicly disclose the value of revenues are not recorded in the budget?</t>
  </si>
  <si>
    <t>No Applicable</t>
  </si>
  <si>
    <t>Revenue streams such as equity distribution, social expenditure, DPE and MRA fees and environmental charges, salaries and wage taxes and foreign contractor witholding taxes are disclosed in the FY 2019 EITI report ( Table 4, page 13-14)</t>
  </si>
  <si>
    <t>Is there a public explanation of the allocation of revenues to extra-budgetary entities, such as development or sovereign wealth funds?</t>
  </si>
  <si>
    <t>7th PNG EITI Report pp. 75</t>
  </si>
  <si>
    <t>There is an SWF in PNG originally plan to operate in 2016, however as of 2021 the government has not yet allocated budget to this Fund (page 75)</t>
  </si>
  <si>
    <t xml:space="preserve">Clarify with MSG  if there is public explanation about the budget allocation made by the MRDC and SOEs to subnational entities and if there is transparency and accountability mechanism in place.  </t>
  </si>
  <si>
    <t>Are financial reports explaining the allocation of revenues to extra-budgetary entities, such as development or sovereign wealth funds, publicly accessible?</t>
  </si>
  <si>
    <t>SOES such as OK Tedi mining and KMHL have no audited financial report. Others like KPHL and MRDC indicates an outdated audited financial report in 2016 but the link cannot be open (FY 2019 report, Table 136, page 196)</t>
  </si>
  <si>
    <t>Is there a public explanation of the allocation of extractive revenues collected by a government entity, or on behalf of the government (e.g. by an SOE), that are retained by that entity and not recorded in the national or subnational budget?</t>
  </si>
  <si>
    <t>As above. No information</t>
  </si>
  <si>
    <t xml:space="preserve">As above </t>
  </si>
  <si>
    <t>Are financial reports explaining the allocation of extractive revenues collected by a government entity, or on behalf of the government (e.g. by an SOE), that are retained by that entity and not recorded in the national or subnational budget?</t>
  </si>
  <si>
    <t>7th PNG EITI Report pp. 156 - 172</t>
  </si>
  <si>
    <t xml:space="preserve">Clarify with MSG what do they mean by refering to page 156-172 of the FY 2019 report. There is a brief explanation about public expenditures made by the SOEs and their subsidiaries that could be categorised as QFE (a comprehensive review should be undertaken for this). However there is no financial report explaining those expenditure. </t>
  </si>
  <si>
    <t>Are there references to any national revenue classification systems or international data standards in the public domain?</t>
  </si>
  <si>
    <t>Yes, Systematically</t>
  </si>
  <si>
    <t>https://eiti.org/files/documents/EITI%20Draft%20Guidance%20Note%20Template.pdf</t>
  </si>
  <si>
    <t>Requirement 5.2: Subnational transfers</t>
  </si>
  <si>
    <t>Objective of Requirement 5.2</t>
  </si>
  <si>
    <t>Progress towards the objective of the requirement, to enable stakeholders at the local level to assess whether the transfer and management of subnational transfers of extractive revenues are in line with statutory entitlements.</t>
  </si>
  <si>
    <t>Is Requirement 5.2 applicable in the period under review?</t>
  </si>
  <si>
    <t>Revenue-sharing mechanism 1</t>
  </si>
  <si>
    <t>Does the government disclose information on Subnational transfers?</t>
  </si>
  <si>
    <t>7th PNG EITI Report, pp.80-89</t>
  </si>
  <si>
    <t>The FY 2019 EITI report provides limited information about the subnational transfers (except that it states about the role of MRDC to facilitate subnational transfer  in page 95) and it’s difficult to tell the difference between subnational payments made by companies (both in kind and in cash) to local governments and local communities and subnational transfers which is a transfer of revenues from one government entity (for instance DPE) to another government entity (for instance a provincial government).  </t>
  </si>
  <si>
    <t xml:space="preserve">Discuss this in detail with the MSG as a follow up of the subnational scoping study published in May 2019 http://www.pngeiti.org.pg/wp-content/uploads/2019/07/PNGEITI-Subnational-Payments-Report-May-2019.pdf </t>
  </si>
  <si>
    <t xml:space="preserve">If yes, are there public disclosures of the statutory revenue-sharing formula? </t>
  </si>
  <si>
    <t>The FY 2019 report does not state if there is a legal framework for revenue sharing mechanism for instance between central government and subnational government. The report (page 54), however, states that there is a regulation that enables subnational governments to make revenue transfers to other subnational governments at lower levels (Section 26 of the Local-level Governments Administration Act 1997).  </t>
  </si>
  <si>
    <t xml:space="preserve">Double check with MSG if this is accurate </t>
  </si>
  <si>
    <t>If yes, is information on how much the government should have transferred according to the revenue sharing formula to each of the relevant local governments publicly disclosed?</t>
  </si>
  <si>
    <t xml:space="preserve">Clarify with MSG about the legal basis of practices where central government transfer funds to subnational units. For instance, DPE transfers development levy to provincial government or MRDC transfers equity to local governments and landowners    </t>
  </si>
  <si>
    <t>If yes, is information on how much the government actually transferred in practice to each of the relevant local governments publicly disclosed?</t>
  </si>
  <si>
    <t>Revenue-sharing mechanism 2</t>
  </si>
  <si>
    <t>7th PNG EITI Report, pp.90-96</t>
  </si>
  <si>
    <t>Has the MSG agreed a procedure to address data quality and assurance of information on such transfers, in accordance with Requirement 4.9?</t>
  </si>
  <si>
    <t>Has the MSG reported on how extractive revenues earmarked for specific programmes or investments at the subnational level are managed, and actual disbursements?</t>
  </si>
  <si>
    <t>Has the MSG provided recommendations to improve the revenue sharing mechanism, ensure the traceability of shares of extractive revenues at the local level, strengthen the management of extractive revenues at the local level, and improve the accessibility of and timeliness of such information?</t>
  </si>
  <si>
    <t>Yes, EITI Reporting and Systematically</t>
  </si>
  <si>
    <t>7th PNG EITI Report, pp.13 Mosly the Sunnational payments are agreed through MOA. However MSG has commissioned a scoping study to investigate the possibility of implementing the standard. PNG EITI Sub-national payments report was published in April of 2019</t>
  </si>
  <si>
    <t>Requirement 5.3: Additional information on revenue management and expenditures</t>
  </si>
  <si>
    <t>Objective of Requirement 5.3</t>
  </si>
  <si>
    <t>Progress towards the objective of the requirement, to strengthen public oversight of the management of extractive revenues, the use of extractives revenues to fund specific public expenditures and the assumptions underlying the budget process.</t>
  </si>
  <si>
    <t>Does the government disclose whether any extractive sector revenues are earmarked (i.e. pinned to specific uses, programmes, geographical zones)? - add rows if several</t>
  </si>
  <si>
    <t>Yes systematically disclosed &amp; through EITI Reporting</t>
  </si>
  <si>
    <t>7th EITI PNG Report, Chapter 5</t>
  </si>
  <si>
    <t xml:space="preserve">No information in FY 2019 report if revenues from extractive sector are earmarked for speciic funds or programmes or projects. There is an SWF in PNG but as of 2021 there is no budget allocation to this fund and it's not clear if the source of budget will be from extractive revenues </t>
  </si>
  <si>
    <t xml:space="preserve">Clarify with MSG what they mean by refering to Chapter 5 of the FY 2019 report </t>
  </si>
  <si>
    <t xml:space="preserve">Does the government disclose a description of the country’s budget and audit processes? </t>
  </si>
  <si>
    <t>Systematically disclosed</t>
  </si>
  <si>
    <t>http://www.treasury.gov.pg/html/national_budget/files/2020/2021%20Budget%Volume%201.pdf</t>
  </si>
  <si>
    <t>An overview of the national budget process is available in page 71 of FY 2019 report including publication of the annual budget to the public. However there is no information in the report if there is audit process of the budget and the expenditure</t>
  </si>
  <si>
    <t>Does the government disclose publicly available information about budgets and 
expenditures? - add rows if several</t>
  </si>
  <si>
    <t>Yes systematically disclosed</t>
  </si>
  <si>
    <t>https://www.treasury.gov.pg./html/national_budget/2019.html</t>
  </si>
  <si>
    <t>The budget is publicly available. Links are provided in F9</t>
  </si>
  <si>
    <t>Requirement 6.1: Social and environmental expenditures</t>
  </si>
  <si>
    <t>Objective of Requirement 6.1</t>
  </si>
  <si>
    <t xml:space="preserve">Progress towards the objective of the requirement, to enable public understanding of extractive companies’ social and environmental contributions and provide a basis for assessing extractive companies’ compliance with their legal and contractual obligations to undertake social and environmental expenditures. </t>
  </si>
  <si>
    <t>Is Requirement 6.1 applicable in the period under review?</t>
  </si>
  <si>
    <t>Social expenditures</t>
  </si>
  <si>
    <t>Does the government disclose information on social expenditures?</t>
  </si>
  <si>
    <t>Yes, through EITI reporting</t>
  </si>
  <si>
    <t>Chapter 6</t>
  </si>
  <si>
    <t xml:space="preserve">Based on the materiality threshold agreed by the MSG (revenue stream that contributes 2% or more to total government revenues), mandatory social expenditure is not material for reconciliation however MSG requested reporting companies to do unilateral disclosure for social expenditure (both mandatory and discretionary) as well as subnational payments. Mandatory and discretionary / voluntary social expenditures are described in chapter 6 of FY 2019 report. </t>
  </si>
  <si>
    <t xml:space="preserve">How did the MSG decide which expenditures are mandatory? </t>
  </si>
  <si>
    <t>If yes, what was the total mandatory social expenditures received?</t>
  </si>
  <si>
    <t>Some private companies like Barrick (Niugini) Ltd (Porgera mine), K92 Mining Ltd (Kainantu), Lihir Gold Ltd (Lihir/Luise Caldera mine), MCC Ramu NiCo Ltd (Kurumbukari mine, Ramu), Morobe Consolidated Goldfields Ltd (Hidden Valley mine), ExxonMobil (operator PNG LNG – total PNG LNG figure), Total E&amp;P PNG Ltd, Oil Search (operator oil projects – total oil project figure) disclose information of mandatory social expenditure on unilateral basis. SOEs such as KPHL, MRDC, Ok Tedi Mining (Mt Fubilan mine) do not disclose any information on mandatory social expenditures. SOEs, however, disclose information on voluntary social expenditure (FY 2019 report, page 80)</t>
  </si>
  <si>
    <t xml:space="preserve">Discuss with MSG how this issue is addressed and state the total amount of the disclosed mandatory social expenditure </t>
  </si>
  <si>
    <t>If yes, what was the total voluntary social expenditures received?</t>
  </si>
  <si>
    <t>Clarify with MSG if the amount is accurate (refer to page 80 of FY 2019 report)</t>
  </si>
  <si>
    <t>Have government's public disclosures of mandatory social expenditures been disaggregated by payment type, company, between cash and in-kind and include information on the nature of in-kind expenditures and the identity of any non-government beneficiaries?</t>
  </si>
  <si>
    <t xml:space="preserve">Yes  </t>
  </si>
  <si>
    <t xml:space="preserve">No information from government disclosing social expenditure. </t>
  </si>
  <si>
    <t>If yes, have mandatory social expenditures been disclosed, with appropriate attention to data quality in accordance with Requirement 4.9?</t>
  </si>
  <si>
    <t xml:space="preserve">Government does not disclosure social expenditure </t>
  </si>
  <si>
    <t>Do companies disclose information on social expenditures?</t>
  </si>
  <si>
    <t>Yes through EITI Reporting</t>
  </si>
  <si>
    <t>Disclosure of mandatory social expenditure is done on unilateral basis by companies.  </t>
  </si>
  <si>
    <t>If yes, what was the total mandatory social expenditures paid?</t>
  </si>
  <si>
    <t xml:space="preserve">108,589,562 PGK </t>
  </si>
  <si>
    <t>If yes, what was the total voluntary social expenditures paid?</t>
  </si>
  <si>
    <t> </t>
  </si>
  <si>
    <t>Have companies' public disclosures of mandatory social expenditures been disaggregated by payment type, company, between cash and in-kind and include information on the nature of in-kind expenditures and the identity of any non-government beneficiaries?</t>
  </si>
  <si>
    <t xml:space="preserve"> Level of disaggragation is made available by payment type, company, cash and in kind for instance in the case of Barrick Niugini Ltd (Porgera mine). In the case of K92 Mining Ltd (Kainantu), the company provided disaggregated data on identify of non-government beneficiaries (FY 2019 report, Page 84-96). However this is not done consistently for all reporting companies. </t>
  </si>
  <si>
    <t>Social expenditure is disclosed by companies and as stated in Req.4.9 the financial report has been audited to international standard and endorsed by appropriate level of seniority within the company (FY 2019 report, page 13)</t>
  </si>
  <si>
    <t>Environmental payments</t>
  </si>
  <si>
    <t>Does the government disclose information on environmental payments?</t>
  </si>
  <si>
    <t>MSG agreed on the materiality of environmental expenditure (fees and users charges) of less than 2% of government revenue to be disclosed because it is considered ‘significant interest’ to the people of PNG. See chapter 2.1 (Materiality), page 30.  </t>
  </si>
  <si>
    <t>If yes, what was the total mandatory environmental payments?</t>
  </si>
  <si>
    <t>Environmental expenditures data such as fees, user charges, compensation are provided on aggregate basis (FY 2019 report, page 84, 87)</t>
  </si>
  <si>
    <t>If yes, what was the total voluntary environmental payments?</t>
  </si>
  <si>
    <t>If yes, have mandatory environmental expenditures been disclosed, with appropriate attention to data quality in accordance with Requirement 4.9?</t>
  </si>
  <si>
    <t xml:space="preserve">Environmental expenditure are disclosed unilaterally by companies and their financial data has been audited to international standard </t>
  </si>
  <si>
    <t>Requirement 6.2: SOE quasi-fiscal expenditures</t>
  </si>
  <si>
    <t>Objective of Requirement 6.2</t>
  </si>
  <si>
    <t xml:space="preserve">Progress towards the objective of the requirement, to ensure transparency and accountability in the management of extractive-funded state-owned enterprise expenditures on behalf of the government that are not reflected in the national budget. </t>
  </si>
  <si>
    <t>Is Requirement 6.2 applicable in the period under review?</t>
  </si>
  <si>
    <t>Quasi-fiscal expenditures type 1</t>
  </si>
  <si>
    <t>Does the government or SOEs disclose information on quasi-fiscal expenditures?</t>
  </si>
  <si>
    <t xml:space="preserve">7th PNG EITI Report, page 156 notes that the classification of quasi-expenditure was not straight forward and could cause under-reporting in this category as highlighted in previous reports. The 2017 EITI Report recommended that PNG undertake a comprehensive review of all expenditure by extractive SOEs that could be considered quasi-fiscal. A scoping study was undertaken following 2018 validation recommendations with the publication of the PNG State Owned Enterprises (SOE) Scoping Study Report published in May 2021.  The Scoping study made recommendations for implementation to comply with Requirement 6.2.                                                      </t>
  </si>
  <si>
    <t>No information if MSG agree on a QFEs materiality definition.  KPHL’s data template refers to ‘Government support’ in relation to quasi-fiscal expenditures but does not provide further explanation (page 160). OTML did not report any quasi-fiscal payments for the 2019 period. However, subsidised power may be classified as a quasi-fiscal payment, as may be some activities of OTDF (page 163). MRDC’s 2019 template states in relation to quasi-fiscal expenditures: 30% of royalty payments by the Government are held in the ‘Community Infrastructure Trust Fund’ (CITF) and is managed by MRDC. Community projects are identified within the project areas and funds from these trusts are used after approval from the Board of each respective landowner entity. Projects include building of classrooms, health centers, roads, bridges, sport facilities, etc. </t>
  </si>
  <si>
    <t xml:space="preserve">Clarify with MSG  why payments made by the MRDC and SOEs to subnational entities are not categorised as QFE? MRDC is managed under the Prime Minister Office and can collect revenues from extractive companies (equity distribution) and spend these revenues without going through budget oversight in the parliament. MSG may need to further discuss the status of these revenue collection and allocation through MRDC without public scrutiny through parliament. If they are QFEs, how transparent they are? As discussed please refer to the SOE scoping study report for the details. </t>
  </si>
  <si>
    <t>If yes, what was the total value of quasi-fiscal expenditures performed by SOEs?</t>
  </si>
  <si>
    <t>If yes, were public disclosures of quasi-fiscal expenditures disaggregated to levels commensurate with Requirement 4.7?</t>
  </si>
  <si>
    <t>If yes, were public disclosures of quasi-fiscal expenditures comprehensive?</t>
  </si>
  <si>
    <t>If yes, were quasi-fiscal expenditures publicly disclosed with appropriate attention to data quality in accordance with Requirement 4.9?</t>
  </si>
  <si>
    <t>Quasi-fiscal expenditures type 2</t>
  </si>
  <si>
    <t xml:space="preserve">7th PNG EITI Report, page 156 notes that the classification of quasi-expenditure was not straight forward and could cause under-reporting in this category as highlighted in previous reports. The 2017 EITI Report recommended that PNG undertake a comprehensive review of all expenditure by extractive SOEs that could be considered quasi-fiscal. The Scoping study made recommendations for implementation to comply with Requirement 6.2.                                                                                    </t>
  </si>
  <si>
    <t>Requirement 6.3: Contribution of the extractive sector to the economy</t>
  </si>
  <si>
    <t>Objective of Requirement 6.3</t>
  </si>
  <si>
    <t>Progress towards the objective of the requirement, to ensure a public understanding of the extractive industries’ contribution to the national economy and the level of natural resource dependency in the economy.</t>
  </si>
  <si>
    <t>Does the government disclose information on the contribution of the extractive industries to the economy?</t>
  </si>
  <si>
    <t>Yes, systematically disclosed and in EITI Report</t>
  </si>
  <si>
    <r>
      <t>Gross Domestic Product -</t>
    </r>
    <r>
      <rPr>
        <i/>
        <u/>
        <sz val="11"/>
        <color rgb="FF00B0F0"/>
        <rFont val="Franklin Gothic Book"/>
        <family val="2"/>
      </rPr>
      <t xml:space="preserve"> </t>
    </r>
    <r>
      <rPr>
        <i/>
        <u/>
        <sz val="11"/>
        <color rgb="FF0070C0"/>
        <rFont val="Franklin Gothic Book"/>
        <family val="2"/>
      </rPr>
      <t>SNA 2008</t>
    </r>
    <r>
      <rPr>
        <i/>
        <sz val="11"/>
        <color rgb="FF0070C0"/>
        <rFont val="Franklin Gothic Book"/>
        <family val="2"/>
      </rPr>
      <t xml:space="preserve"> C</t>
    </r>
    <r>
      <rPr>
        <i/>
        <sz val="11"/>
        <rFont val="Franklin Gothic Book"/>
        <family val="2"/>
      </rPr>
      <t>. Mining and quarrying, including oil and gas</t>
    </r>
  </si>
  <si>
    <t>Gross Domestic Product ASM and informal sector</t>
  </si>
  <si>
    <t>Gross Domestic Product - all sectors</t>
  </si>
  <si>
    <t>Government revenue - extractive industries</t>
  </si>
  <si>
    <t>Government revenue - all sectors</t>
  </si>
  <si>
    <t>Exports - extractive industries</t>
  </si>
  <si>
    <t>33,530,000,000 PGK</t>
  </si>
  <si>
    <t>Exports - all sectors</t>
  </si>
  <si>
    <t>Employment - extractive sector - male</t>
  </si>
  <si>
    <t>14363 people</t>
  </si>
  <si>
    <t>Employment - extractive sector - female</t>
  </si>
  <si>
    <t>2012 people</t>
  </si>
  <si>
    <t>Employment - extractive sector</t>
  </si>
  <si>
    <t>359.3 people</t>
  </si>
  <si>
    <t>Employment - all sectors</t>
  </si>
  <si>
    <t>151.9 people</t>
  </si>
  <si>
    <t>Investment - extractive sector</t>
  </si>
  <si>
    <t>&lt; number &gt;</t>
  </si>
  <si>
    <t>Investment - all sectors</t>
  </si>
  <si>
    <t>Does the government disclose information on the location of the major extractive activities in the country?</t>
  </si>
  <si>
    <t>7th PNG EITI Report Chpt. 7 &amp; Chpt. 8</t>
  </si>
  <si>
    <t>Requirement 6.4: Environmental impact</t>
  </si>
  <si>
    <t>Objective of Requirement 6.4</t>
  </si>
  <si>
    <t>Progress towards the objective of the requirement, to provide a basis for stakeholders to assess the adequacy of the regulatory framework and monitoring efforts to manage the environmental impact of extractive industries, and to assess extractive companies’ adherence to environmental obligations.</t>
  </si>
  <si>
    <t>Is Requirement 6.4 applicable in the period under review?</t>
  </si>
  <si>
    <t>the relevant legal and administrative rules for environmental management?</t>
  </si>
  <si>
    <t xml:space="preserve">http://www.parliament.gov.pg/uploads/acts/14A_10.pdf </t>
  </si>
  <si>
    <t xml:space="preserve">The FY 2019 report provides clear rule and steps about management and monitoring of the environmental impact of the extractive industries (See page 128). 
One of the steps before a company obtained environmental permit is submission of Eenvironmental Impact report (EIR) and Environment Impact Statement (EIS) to PNG Conservation and Environment Protection Authority (CEPA). Both documents will be assessed on participatory basis which include referrals, public advertisement and consultations.  
After that, EIS may then be approved by Executive Management Committee (EMC) and forwarded to Minister of Environment for approval, and issuance of permit </t>
  </si>
  <si>
    <t>databases containing environmental impact assessments, certification schemes or similar documentation of environmental management?</t>
  </si>
  <si>
    <t>other relevant information on environmental monitoring procedures and administration?</t>
  </si>
  <si>
    <t>The EITI report 2019 provides description of environmental approval process as well as list of environmental permit licence in pages 128-129.  However, Environmental monitoring after the permit is granted as well as post-mining rehabilitation is unclear in the report    </t>
  </si>
  <si>
    <t xml:space="preserve">Clarify with the MSG about environmental monitoring after an extractive project license is awarded and post-mining rehabilitation </t>
  </si>
  <si>
    <t xml:space="preserve">PNG mining sector is regulated under Mining Act 1992 and it is systematically disclosed. </t>
  </si>
  <si>
    <t>https://mra.gov.pg/regulatory/aboutregulatory/</t>
  </si>
  <si>
    <t>http://www.paclii.org/pg/legis/num_act/mraa2005328.pdf</t>
  </si>
  <si>
    <t>http://www.parliament.gov.pg/uploads/acts/18A-06.pdf</t>
  </si>
  <si>
    <t>https://petroleum.gov.pg/legislative/</t>
  </si>
  <si>
    <t>7th PNG EITI Report, pp.59 - 69</t>
  </si>
  <si>
    <t>https://portal.mra.gov.pg/Site/MapPage.aspx?PageID=e735c534-5f4e-4b2b-a544-89b90357e0f1</t>
  </si>
  <si>
    <t>7th PNG EITI Report, pp.126 - 128</t>
  </si>
  <si>
    <t>The list of mining license in Appendix B outline the list of Grant Exploration and Renewal Exploration Liscense as dated from 2017 up to 2019 October and December. PNG Mining Cadastre Portal on the MRA website provides a comprehensive list of liscense awards. Registered users are able to review their portfolios and underatake other activities. It includes information required by EITI standard except for commodity produced at mine site.</t>
  </si>
  <si>
    <t>7th PNG EITI Report, pp 51</t>
  </si>
  <si>
    <t>7th PNG EITI Report, pp 54 - 56</t>
  </si>
  <si>
    <t>7th PNG EITI Report, pp 42 - 57</t>
  </si>
  <si>
    <t>7th PNG EITI Report, pp 48</t>
  </si>
  <si>
    <t>7th PNG EITI Report, pp48</t>
  </si>
  <si>
    <t>7th PNG EITI Report, pp 53</t>
  </si>
  <si>
    <t>84,109,000,000 PGK</t>
  </si>
  <si>
    <t>60,780,000,000 PGK</t>
  </si>
  <si>
    <t>23,329,000,000 PGK</t>
  </si>
  <si>
    <t>1,141,900,000 PGK</t>
  </si>
  <si>
    <t>13,680,500,000 PGK</t>
  </si>
  <si>
    <t>38,052,300,000 USD</t>
  </si>
  <si>
    <t>The reference to Chapter 5 is that it documents the National Budget Process. Note that all government revenues go into a consolidated revenue basket (incl. revenue from extractive sector) and then get allocated to government priority areas. The revenues are not earmarked for specific projects or programmes.                                                               The SWF has been established but is not yet in operation as work is still progressing on the SWF. Refer to comments from Treasurer in National News Paper on 27 January 2022 https://www.thenational.com.pg/govt-progressing-work-on-swf/.                                                                      Clause 11 of The Organic Law on Soverereign Wealth Fund specifies requirement for Deposits into SWF. Organic Law on SWF can be accessed through Department of Treasury web page (https://www.treasury.gov.pg/html/public_debt/files/2015/Gazette%20-%20SWF%20-%2027%20Oct%202014.pdf)</t>
  </si>
  <si>
    <t>Ask for copy o discussion on non applicability of this requirement.</t>
  </si>
  <si>
    <t>Discussed during MSG Meeting No.01/2021 on 5th July 2021. Refer to minutes of meeting on                                                                                                   http://www.pngeiti.org.pg/wp-content/uploads/2018/04/Minutes-of-MSG-Meeting-01.pdf</t>
  </si>
  <si>
    <t xml:space="preserve">Since 2018 </t>
  </si>
  <si>
    <t>The reference to the PNG Tax review  shows reforms in tax since 2013. PNG had undertaken a tax review and a comprehensive tax review report was submitted to the government in 2015. The report contained seven (7) recommendations that were related to extractive industries. These recommendations have led to tax updates in revenue policies related to extractive industries in 2019.                                                       The Public Money Management Act 2017 does not apply to Kumul Mineral Holdings and Kumul Petroleum Holdings per clause 2 (d) - (e). Note that the Public Money Management Act 2017 was nullified by the Supreme Court in 2020 so it is not applicable.</t>
  </si>
  <si>
    <t xml:space="preserve">Kumul Petroleum Holdings Limited has own its website a section on corporate governmance which can be assessed via its website (https://kumulpetroleum.com/board/) which makes reference to its Board Manual, Charter and Policies </t>
  </si>
  <si>
    <t>There are CEPA officers  attached to the projects after environmental permit licence is granted who are expected to conduct environmental monitoring. However, in practice there is still work to be done in this area.</t>
  </si>
  <si>
    <t xml:space="preserve">Production data reported by companies and MRA (pp. 124 - 125 ) had variances. However, prodction data provided here were calculated using the formula and data reported by the company and not MRA. For Oil and Gas Industry as reported (pp.149) Oil and Gas production and export quantities are reported by companies only, no reports provided for MRA. </t>
  </si>
  <si>
    <t xml:space="preserve">The reference to the PNG Tax review  shows reforms in tax since 2013. PNG had undertaken a tax review and a comprehensive tax review report was submitted to the government in 2015. The report contained seven (7) recommendations that were related to extractive industries. These recommendations have led to tax updates in revenue policies related to extractive industries in 2019.                                                                The Public Money Management Act 2017 does not apply to Kumul Mineral Holdings and Kumul Petroleum Holdings per clause 2 (d) - (e). Note that the Public Money Management Act 2017 was nullified by the Supreme Court in 2020 so it is not applicable.  </t>
  </si>
  <si>
    <t>IA reconciled 99.42% of the extractive industries revenue streams reported in the 2019 Report with the application of the claasifcation of the revenue streams under quantitative and qualitative definition of materiality covered in the report. Whereas, the portion of  97.84% reconciled revenue is the coverage based on government receipts validated by the quantitative definition of materiality only. Hence, some revenue stream not covered do not affect the comprehensive of the report.</t>
  </si>
  <si>
    <t>The difference between the two tables is that Table 9 (pp 36) contains the list of material and active parent of the reporting companies for all mining and oil and gas reported excluding the list of their affiliates and subsidiaries.  Data presented in Table 10 (pp 36) represents both material reporting entity's as parent companies together with their affliates and subsidiaries  of which 16 of the affliates or subsidiary meets the quantitative or and the other 21 meets the qualitative definiton of materiality in the report generally for the oil and gas reporting companies and their affiliates or subsidiaries.</t>
  </si>
  <si>
    <t>In Table 9 (pp 36) the fourth-ten material reporting entities listed for Mining, Oil and gas companies are deemed material as their revenue streams reported meets the materiality definition in the 2019 report. Addittionally, the number of companies reported in Table 10 is inclusive of subsidiaries and affiliates of the parent and its affiliates and subsidiaries that are considered material under the quantitative or qualitative definition of materiality. The materiality of revenue streams from these companies are determined by the quantitative and qualitative definition of materiality by the MSG. The application of quantitative thresold was for all revenue streams that contribute 2% or more to the total revenue received by the government from the mining and oil and gas which is PGK79 million in 2019. All payments and revenue streams that were below the quantitative definition but could affect the comprehensiveness of EITI report were reconciled based on a qaulitative definition of materiality adopted by the MSG. Refer to (pp 30) for the qualitative definition of materiality.</t>
  </si>
  <si>
    <t>Due to classification of QFE not being straight forward MSG commissioned a SOE scoping study which has provided recommendations on QFE which MSG will implement in the 2020 reports going forward. MRDC is the equity holder for landowners for mining and oil and gas projects which the state acquires. MRDC is incorporated under Companies Act and is expected to comply with all requirements under Companies Act and as such its revenues and how it spends these revenues do not go through the budget process. In the SOE Scoping report, QFEs have been defined including how to report on QFEs which MSG plans incorporate into 2020 reports going forward.</t>
  </si>
  <si>
    <r>
      <t>The report provides a comphrenensive disclosure of the PNG Government revenue streams relevant to the extractive sector. Revenue streams such as production levy, license fees, import taxes and excise duties reported values in PGK that is certainly used to calculate and determine materiality and immateriality of the listed revenue streams in Table 14 (pp 39 - 40). The percentage (%) of revenue which is a determinantof materiality is calculated; Formula:</t>
    </r>
    <r>
      <rPr>
        <sz val="11"/>
        <color theme="4"/>
        <rFont val="Franklin Gothic Book"/>
        <family val="2"/>
      </rPr>
      <t xml:space="preserve"> (Revenue (PGK)/Sum of Revenue(PGK))*100,</t>
    </r>
    <r>
      <rPr>
        <sz val="11"/>
        <color rgb="FFFF0000"/>
        <rFont val="Franklin Gothic Book"/>
        <family val="2"/>
      </rPr>
      <t xml:space="preserve"> </t>
    </r>
    <r>
      <rPr>
        <sz val="11"/>
        <rFont val="Franklin Gothic Book"/>
        <family val="2"/>
      </rPr>
      <t>revenue in this case is  the reported value of each revenue both material and immaterial amounts in PGK.</t>
    </r>
    <r>
      <rPr>
        <sz val="11"/>
        <color theme="1"/>
        <rFont val="Franklin Gothic Book"/>
        <family val="2"/>
      </rPr>
      <t xml:space="preserve"> Therefore, the 97.84% revenue streams reconiclied revenue calculation is inclusive of non-material revenue streams and so subnational units are comprehsively disclosed.</t>
    </r>
  </si>
  <si>
    <t>The materiality of revenue streams in Table 14 (pp 39 - 40) was determined after computations were done using the formula above to see if the % of the revenue stremas reported are above 2%  of materiality requirement  and the calculation is totally inclusive of the non materials amounts reported in the report. These revenue streams were reported non material after being considered non - material by quantitative computation, hence non material revenue streams amounts are fully disclosed.</t>
  </si>
  <si>
    <t>Individual Comapany Websites</t>
  </si>
  <si>
    <t>http://www.cratergold.com.au/irm/content/annual-report.aspx?RID=226</t>
  </si>
  <si>
    <t>There was a discussion on the 11th of October, in the 3rd Quarter MSG Meeting in 2019 (3/2019) when on Agenda 3. Project updates and Progress of FY2018 PNGEITI Report. It was resolved that the National Secretariat will facilitate contract transparency with MR on mining project agreements and oil and gas companies on project contracts/agreements disclosure or partial disclosure.</t>
  </si>
  <si>
    <t>7th PNG EITI Report, pp 79 - 96</t>
  </si>
  <si>
    <t>7th PNG EITI Report, pp 80</t>
  </si>
  <si>
    <t>7th PNG EITI Report, pp 79</t>
  </si>
  <si>
    <t>7th PNG EITI Report, pp 84 - 96</t>
  </si>
  <si>
    <t>7th PNG EITI Report, 84 - 96</t>
  </si>
  <si>
    <t>7th PNG EITI Report, Chapter 6</t>
  </si>
  <si>
    <t>335,329,415 PGK</t>
  </si>
  <si>
    <t>6,522,217 PGK</t>
  </si>
  <si>
    <t>112,138,792 PGK</t>
  </si>
  <si>
    <t>108,589,562 PGK</t>
  </si>
  <si>
    <t>Correct amount is PGK335,329,415 (Page 80 PNGEITI 2019 Report)</t>
  </si>
  <si>
    <t xml:space="preserve">The SOE Scoping Study </t>
  </si>
  <si>
    <r>
      <rPr>
        <sz val="10"/>
        <color theme="1" tint="4.9989318521683403E-2"/>
        <rFont val="Franklin Gothic Book"/>
        <family val="2"/>
      </rPr>
      <t xml:space="preserve">Refer to Link Below
</t>
    </r>
    <r>
      <rPr>
        <u/>
        <sz val="10"/>
        <color theme="10"/>
        <rFont val="Franklin Gothic Book"/>
        <family val="2"/>
      </rPr>
      <t>https://mra.gov.pg/investment/miningregulations/</t>
    </r>
  </si>
  <si>
    <t>Due to confidentiality, trade and/or commercially sensitive information, resource development agreements are not publically available. 
Progress: PNG EITI issued Scoping Report for Contract Transparency and Timeline
http://www.pngeiti.org.pg/wp-content/uploads/2022/02/PNGEITI-Contract-Transparency-Report-Final-Copy.pdf</t>
  </si>
  <si>
    <t>No non-trivial deviationsf from Laws and Regulations in mining license award from 2018 to 2021</t>
  </si>
  <si>
    <t xml:space="preserve">There are no transfers of mining licenses as stated in the report. </t>
  </si>
  <si>
    <t xml:space="preserve">As mentioned in the EITI report, Tenements are not awarded through a bidding process. </t>
  </si>
  <si>
    <t>No non-trivial deviations from relevant laws and regulations in petroleum license award from 2018-2021</t>
  </si>
  <si>
    <t>As mentioned in the report, no licences were awarded through bidding process in 2019.</t>
  </si>
  <si>
    <t>All are in cadastre portal</t>
  </si>
  <si>
    <t>This list is comprehensive</t>
  </si>
  <si>
    <t>MRA has guideline of  specific technical and financial criteria which are based on their interpretation of the Mining Act. The Authority is guided by the following implementation guideline to assess Financial Capability: 
1. Does the applicant have sufficient fund?
2. Is funding provided by a PNG registered provider?
3. Is all required funding Committed?
4. Is all required funding conditional? 
Further information is required about Funding and Solvency and Liquidity. 
Four steps are undertaken during the application process which includes:
1. Preliminary examination
2. Acceptance and registration
3. Wardens hearing
4. Mining advisory board recommendation. 
The specific guidelines above are currently this not available in a public domain. This will be available with MRA.</t>
  </si>
  <si>
    <t>Refer to above</t>
  </si>
  <si>
    <t xml:space="preserve">Information about award process is comprehensive
</t>
  </si>
  <si>
    <t>No non-trivial deviations from Laws and Regulations in mining license award from 2018 to 2021</t>
  </si>
  <si>
    <t xml:space="preserve">Refer to the links below:
1. Petroleum licenses in 2019 including transfers statistics and production information.
https://petroleum.gov.pg/dpe-eiti/ 
2. Petroleum map
https://petroleum.gov.pg/wp-content/uploads/2020/02/PNG-Petroleum-Policy-Handbook.pdf
</t>
  </si>
  <si>
    <t>All are in cadastre portal are comprehensive</t>
  </si>
  <si>
    <t>List of mining licenses is comprehensive and included in the appendix.</t>
  </si>
  <si>
    <t>List of petroleum licenses is comprehensive and included in the appendix.</t>
  </si>
  <si>
    <t>List of mining license is comprehensive</t>
  </si>
  <si>
    <t>In the annual workpan, MSG started to look at recommendations and legislations. Discussions with IPA with regards to amending Companies Act will be happening this year. This will provide progress on improving Beneficial Ownership disclosure and quality of information.</t>
  </si>
  <si>
    <t>Refer to above.</t>
  </si>
  <si>
    <t>http://www.pngeiti.org.pg/wp-content/uploads/2021/06/PNGEITI-BO-Report.pdf provide BO data assurance mechanism in page 9-10</t>
  </si>
  <si>
    <t>Updated response</t>
  </si>
  <si>
    <t>http://www.pngeiti.org.pg/wp-content/uploads/2021/06/PNGEITI-BO-Report.pdf</t>
  </si>
  <si>
    <t xml:space="preserve">EITI-PNG-BO-Register-last-update-20.12.2020.xlsx (live.com)
https://view.officeapps.live.com/op/view.aspx?src=http%3A%2F%2Fwww.pngeiti.org.pg%2Fwp-content%2Fuploads%2F2020%2F12%2FEITI-PNG-BO-Register-last-update-20.12.2020.xlsx&amp;wdOrigin=BROWSELINK </t>
  </si>
  <si>
    <t xml:space="preserve">Ok Tedi is owned by 
1. subsidiary of Kumul Minerals Holdings Limited which is ultimately owned by the state
2. owned by land owner companies (not subsidiaries of MRDC). MRDC act as management company for these Landowner Companies
Kumul Petroleumm (Kroton) Ltd
1. 74.25% owned by KPHL
2. 19.57% owned by PDL Area (PNG LNG) UBSA Limited which is 100% owned by KPHL
3. 6.18% owned by Pipeline and Plant (PNG LNG) UBSA Limited which is 100% owned by KPHL
Gas Resources PNG LNG Limited is 100% owned by MRDC. </t>
  </si>
  <si>
    <t xml:space="preserve">Updated response. Mining and Oil and Gas agreements remain confidential. </t>
  </si>
  <si>
    <t xml:space="preserve">No other sites or venues available due to confidentiality. </t>
  </si>
  <si>
    <t xml:space="preserve">7th PNG EITI Report, pp. 42-54, 98 -100, 132 </t>
  </si>
  <si>
    <t>7th PNG EITI Report, pp. 98, 100 -119, 133 -145</t>
  </si>
  <si>
    <t>Refer to the links below:
1. Petroleum licenses in 2019 including transfers statistics and production information.
https://petroleum.gov.pg/dpe-eiti/ 
2. Petroleum map
https://petroleum.gov.pg/wp-content/uploads/2020/02/PNG-Petroleum-Policy-Handbook.pdf</t>
  </si>
  <si>
    <t>These finding have been followed-up with MSG and will be improved in the future disclosures.</t>
  </si>
  <si>
    <t xml:space="preserve">At the 2021 First Quarter MSG Meeting (1/2021) at the discussion of Agenda 3 Project Update - 3.1  - Approval of FY2019 PNGEITI Report for Publicatipon. IA urged DPE to continuously enage in report preparation process so updated information and data on the production values will be provided to be disclosed in the report. Disclosure of oil and gas production values still remains a challenge and informtion should be made available for public and government agencies to access and use the information. </t>
  </si>
  <si>
    <t>Export information are now availabe on DPE website:
https://petroleum.gov.pg/dpe-eiti/</t>
  </si>
  <si>
    <t xml:space="preserve">Share of sales are excluded since this represent gross amounts from the projects. Net amount distributed to the joint venturers or the shareholders are  "equity distribution". Nonetheless, it is being reconciled for transparency purposes. 
Infrastructure tax credits are excluded in the calculation to avoid double counting of expenditures which may have been reported under Mandatory or Voluntary Expenditures. Nonetheless, these are also reconciled. 
IA assess that whilst, these are excluded, these are still reported and reconciled. These do not affect comprehensiveness of the EITI Report. </t>
  </si>
  <si>
    <t>KPHL and MRDC (SOEs) Reporting Companies without updated FS constitute 19.08% of Total Revenue.</t>
  </si>
  <si>
    <t>As confirmed by the MSG, there are no in-kind revenues</t>
  </si>
  <si>
    <t>Infrastructure expenditures, if any, are claimed as ITC upon approval by DNPM can be claimed as deduction to Income Tax Liability</t>
  </si>
  <si>
    <t>There are no material transfers in 2019.</t>
  </si>
  <si>
    <t>Disclosure of revenues streams paid by the parent or operating companies to various government receiving entities and for these specific revenue streams are disclosed by project as these revenues streams collected from fees levied on and payments are made by individual projects and not parent companies/operating companies. 
Table 11 - summarizes material payments. Other payments can be referred to other pages in the report.</t>
  </si>
  <si>
    <t>Ok Tedi has audited financial statements uploaded on their website -  https://oktedi.com/who-we-are/annual-performance/
KPHL and MRDC which do not have current audited data constitute 19.08% of total revenue.</t>
  </si>
  <si>
    <t xml:space="preserve">Yes this has been approved by MSG. </t>
  </si>
  <si>
    <t>This is based on number of Companies. Considering the audited financial statements - refer to above percentage.</t>
  </si>
  <si>
    <t>Yes agreed with MSG</t>
  </si>
  <si>
    <t xml:space="preserve">Since the submission is through portal where all authorised representative has access, there is risk that one user can update or edit the file/submission of the other template. Hence, reporting templates had been included with a password to safeguard the information within the document. Authorised respresentative of each reporting entity is given their own unique password to be used. </t>
  </si>
  <si>
    <t xml:space="preserve">UNDP human development report (page 4), corruption perception index 2019 (page 4), EITI Standard “What is a Beneficial Owner”, (Page 10), Beneficial Ownership Final Report (Page 10), etc.  </t>
  </si>
  <si>
    <t>These are not extra-budgetary revenue streams.</t>
  </si>
  <si>
    <t xml:space="preserve">There are no other revenue streams paid/allocated to LGU apart from The Subnational payments included in the Report. </t>
  </si>
  <si>
    <t xml:space="preserve">These royalties and subnational payments are paid directly to LGUs and landowner companies through accounts in Central Bank or respective accounts. DPE and MRA serves as record keeping authorities for these payments.  </t>
  </si>
  <si>
    <r>
      <rPr>
        <sz val="10"/>
        <color theme="1" tint="4.9989318521683403E-2"/>
        <rFont val="Franklin Gothic Book"/>
        <family val="2"/>
      </rPr>
      <t xml:space="preserve"> The classification of whats mandatory expenditure is in accordance with Sub-national payments report pages 82 to 83 and pages 65-66 lists expenditures that are considered as mandatory.  The report can be accessed on this link: </t>
    </r>
    <r>
      <rPr>
        <u/>
        <sz val="10"/>
        <color theme="10"/>
        <rFont val="Franklin Gothic Book"/>
        <family val="2"/>
      </rPr>
      <t xml:space="preserve">http://www.pngeiti.org.pg/wp-content/uploads/2019/07/PNGEITI-Subnational-Payments-Report-May-2019.pdf 
</t>
    </r>
    <r>
      <rPr>
        <sz val="10"/>
        <color theme="1" tint="4.9989318521683403E-2"/>
        <rFont val="Franklin Gothic Book"/>
        <family val="2"/>
      </rPr>
      <t xml:space="preserve">
One of the recommendations in the report is to reconcile mandatory expenditures in the future EITI Report. </t>
    </r>
  </si>
  <si>
    <t>Same disclosure as voluntary expenditure.</t>
  </si>
  <si>
    <t>SOE Scoping study and implementation will be done this year. No fiscal relations disclosure as at yet in public portals.</t>
  </si>
  <si>
    <t xml:space="preserve">Table 25 (pp 82) outline the subnational payments reporting framework. It consist of social expenditures and direct payments &amp; transfers sectors. There is no specific information about which of these payments fall under direct payments and subnational transfers either by companies to LGUs or intergovernmental transfers. Assuming the payments and transfers from all types under the varying sectors are determinded by the nature of transactions for instance the payer, the recipient, whether the transaction is a direct company payment or a direct government transfer, and if the payment or transfer was directed cash or in-kind goods and services and what specific sector the payment belongs are outlined in the framewrok. Some relevant information relating to transfers  and payments in this matter are in 2017 National Economic and Fiscal Commission (NEFC) however, it does not always align with PNG EITI requirements.
As confirmed during MSG meeting, subnational payments disclosed in EITI report is comprehensive. There are no known subnational transfers in 2019. Implementation of subnational study will happen during the fiscal year. </t>
  </si>
  <si>
    <t xml:space="preserve">Local governments diclose subnational payments seperatly not in detailed hence amounts in PGK values are disclosed for only seven (7) provinces that were presented in the report. The reported sum of payments from the mining industries to local governments is PGK 125,454,094 on the report (pp 82).
These are currently reconciled with MRA and DPE (Authorities). However, reconciliation with LGUs has yet to be implemented. This wil implemented during the year. </t>
  </si>
  <si>
    <t xml:space="preserve">Fiscal policies including grants for Local and Provincial Government are included in Public Finances (Management) Act of 1995.
http://www.paclii.org/pg/legis/consol_act/pfa1995224/
Local governments submits budgets to Provincial Government. Provincial Government budgets (includes Local governments) are submitted to Treasury of approval and allocation. Budget allocation for Provincial governments are also published/available in the National budget. </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</si>
</sst>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_ * #,##0.00_ ;_ * \-#,##0.00_ ;_ * &quot;-&quot;??_ ;_ @_ "/>
    <numFmt numFmtId="165" formatCode="_ * #,##0_ ;_ * \-#,##0_ ;_ * &quot;-&quot;??_ ;_ @_ "/>
    <numFmt numFmtId="166" formatCode="yyyy\-mm\-dd"/>
    <numFmt numFmtId="167" formatCode="_ * #,##0.0000_ ;_ * \-#,##0.0000_ ;_ * &quot;-&quot;??_ ;_ @_ "/>
    <numFmt numFmtId="168" formatCode="0.0%"/>
    <numFmt numFmtId="169" formatCode="&quot;$&quot;#,##0.00"/>
    <numFmt numFmtId="170" formatCode="#,##0.00_ ;\-#,##0.00\ "/>
  </numFmts>
  <fonts count="114" x14ac:knownFonts="1">
    <font>
      <sz val="12"/>
      <color theme="1"/>
      <name val="Calibri"/>
      <family val="2"/>
      <scheme val="minor"/>
    </font>
    <font>
      <sz val="12"/>
      <color theme="1"/>
      <name val="Calibri"/>
      <family val="2"/>
      <scheme val="minor"/>
    </font>
    <font>
      <u/>
      <sz val="12"/>
      <color theme="10"/>
      <name val="Calibri"/>
      <family val="2"/>
      <scheme val="minor"/>
    </font>
    <font>
      <i/>
      <u/>
      <sz val="14"/>
      <color theme="1"/>
      <name val="Franklin Gothic Book"/>
      <family val="2"/>
    </font>
    <font>
      <b/>
      <i/>
      <u/>
      <sz val="14"/>
      <color rgb="FF000000"/>
      <name val="Franklin Gothic Book"/>
      <family val="2"/>
    </font>
    <font>
      <b/>
      <i/>
      <u/>
      <sz val="14"/>
      <color theme="1"/>
      <name val="Franklin Gothic Book"/>
      <family val="2"/>
    </font>
    <font>
      <sz val="11"/>
      <color theme="1"/>
      <name val="Franklin Gothic Book"/>
      <family val="2"/>
    </font>
    <font>
      <i/>
      <sz val="11"/>
      <color rgb="FF000000"/>
      <name val="Franklin Gothic Book"/>
      <family val="2"/>
    </font>
    <font>
      <i/>
      <sz val="11"/>
      <name val="Franklin Gothic Book"/>
      <family val="2"/>
    </font>
    <font>
      <i/>
      <u/>
      <sz val="10.5"/>
      <color theme="10"/>
      <name val="Franklin Gothic Book"/>
      <family val="2"/>
    </font>
    <font>
      <sz val="11"/>
      <color rgb="FF000000"/>
      <name val="Franklin Gothic Book"/>
      <family val="2"/>
    </font>
    <font>
      <i/>
      <u/>
      <sz val="11"/>
      <color rgb="FF00B0F0"/>
      <name val="Franklin Gothic Book"/>
      <family val="2"/>
    </font>
    <font>
      <i/>
      <u/>
      <sz val="11"/>
      <color rgb="FF0070C0"/>
      <name val="Franklin Gothic Book"/>
      <family val="2"/>
    </font>
    <font>
      <i/>
      <sz val="11"/>
      <color rgb="FF0070C0"/>
      <name val="Franklin Gothic Book"/>
      <family val="2"/>
    </font>
    <font>
      <b/>
      <sz val="11"/>
      <color theme="1"/>
      <name val="Franklin Gothic Book"/>
      <family val="2"/>
    </font>
    <font>
      <i/>
      <sz val="11"/>
      <color theme="1"/>
      <name val="Franklin Gothic Book"/>
      <family val="2"/>
    </font>
    <font>
      <b/>
      <sz val="11"/>
      <color rgb="FF000000"/>
      <name val="Franklin Gothic Book"/>
      <family val="2"/>
    </font>
    <font>
      <i/>
      <u/>
      <sz val="11"/>
      <color theme="1"/>
      <name val="Franklin Gothic Book"/>
      <family val="2"/>
    </font>
    <font>
      <b/>
      <i/>
      <u/>
      <sz val="11"/>
      <color rgb="FF000000"/>
      <name val="Franklin Gothic Book"/>
      <family val="2"/>
    </font>
    <font>
      <b/>
      <i/>
      <u/>
      <sz val="18"/>
      <color theme="1"/>
      <name val="Franklin Gothic Book"/>
      <family val="2"/>
    </font>
    <font>
      <b/>
      <i/>
      <sz val="11"/>
      <color theme="1"/>
      <name val="Franklin Gothic Book"/>
      <family val="2"/>
    </font>
    <font>
      <u/>
      <sz val="10.5"/>
      <color theme="10"/>
      <name val="Calibri"/>
      <family val="2"/>
    </font>
    <font>
      <u/>
      <sz val="11"/>
      <color theme="10"/>
      <name val="Franklin Gothic Book"/>
      <family val="2"/>
    </font>
    <font>
      <b/>
      <u/>
      <sz val="11"/>
      <color theme="10"/>
      <name val="Franklin Gothic Book"/>
      <family val="2"/>
    </font>
    <font>
      <b/>
      <sz val="18"/>
      <color rgb="FF000000"/>
      <name val="Franklin Gothic Book"/>
      <family val="2"/>
    </font>
    <font>
      <i/>
      <u/>
      <sz val="11"/>
      <color rgb="FF000000"/>
      <name val="Franklin Gothic Book"/>
      <family val="2"/>
    </font>
    <font>
      <b/>
      <sz val="14"/>
      <color rgb="FF000000"/>
      <name val="Franklin Gothic Book"/>
      <family val="2"/>
    </font>
    <font>
      <b/>
      <sz val="11"/>
      <color theme="0"/>
      <name val="Franklin Gothic Book"/>
      <family val="2"/>
    </font>
    <font>
      <sz val="10.5"/>
      <color theme="1"/>
      <name val="Calibri"/>
      <family val="2"/>
    </font>
    <font>
      <b/>
      <sz val="11"/>
      <name val="Franklin Gothic Book"/>
      <family val="2"/>
    </font>
    <font>
      <b/>
      <sz val="11"/>
      <color rgb="FF165B89"/>
      <name val="Franklin Gothic Book"/>
      <family val="2"/>
    </font>
    <font>
      <b/>
      <sz val="11"/>
      <color rgb="FF000000"/>
      <name val="Wingdings"/>
      <charset val="2"/>
    </font>
    <font>
      <b/>
      <u/>
      <sz val="11"/>
      <color rgb="FF165B89"/>
      <name val="Franklin Gothic Book"/>
      <family val="2"/>
    </font>
    <font>
      <b/>
      <i/>
      <sz val="11"/>
      <name val="Franklin Gothic Book"/>
      <family val="2"/>
    </font>
    <font>
      <i/>
      <u/>
      <sz val="11"/>
      <name val="Franklin Gothic Book"/>
      <family val="2"/>
    </font>
    <font>
      <b/>
      <i/>
      <u/>
      <sz val="11"/>
      <name val="Franklin Gothic Book"/>
      <family val="2"/>
    </font>
    <font>
      <sz val="11"/>
      <name val="Franklin Gothic Book"/>
      <family val="2"/>
    </font>
    <font>
      <i/>
      <u/>
      <sz val="11"/>
      <color theme="10"/>
      <name val="Franklin Gothic Book"/>
      <family val="2"/>
    </font>
    <font>
      <b/>
      <sz val="18"/>
      <color theme="1"/>
      <name val="Franklin Gothic Book"/>
      <family val="2"/>
    </font>
    <font>
      <b/>
      <i/>
      <u/>
      <sz val="11"/>
      <color theme="10"/>
      <name val="Franklin Gothic Book"/>
      <family val="2"/>
    </font>
    <font>
      <i/>
      <sz val="10.5"/>
      <color rgb="FF7F7F7F"/>
      <name val="Calibri"/>
      <family val="2"/>
    </font>
    <font>
      <i/>
      <sz val="11"/>
      <color rgb="FF7F7F7F"/>
      <name val="Franklin Gothic Book"/>
      <family val="2"/>
    </font>
    <font>
      <b/>
      <sz val="12"/>
      <color theme="1"/>
      <name val="Franklin Gothic Book"/>
      <family val="2"/>
    </font>
    <font>
      <sz val="10.5"/>
      <color theme="1"/>
      <name val="Franklin Gothic Book"/>
      <family val="2"/>
    </font>
    <font>
      <b/>
      <sz val="16"/>
      <color theme="1"/>
      <name val="Franklin Gothic Book"/>
      <family val="2"/>
    </font>
    <font>
      <b/>
      <i/>
      <u/>
      <sz val="11"/>
      <color rgb="FF0076AF"/>
      <name val="Franklin Gothic Book"/>
      <family val="2"/>
    </font>
    <font>
      <b/>
      <i/>
      <u/>
      <sz val="16"/>
      <color theme="1"/>
      <name val="Franklin Gothic Book"/>
      <family val="2"/>
    </font>
    <font>
      <sz val="12"/>
      <color theme="1"/>
      <name val="Franklin Gothic Book"/>
      <family val="2"/>
    </font>
    <font>
      <sz val="18"/>
      <color theme="1"/>
      <name val="Franklin Gothic Book"/>
      <family val="2"/>
    </font>
    <font>
      <b/>
      <u/>
      <sz val="11"/>
      <color theme="1"/>
      <name val="Franklin Gothic Book"/>
      <family val="2"/>
    </font>
    <font>
      <b/>
      <u/>
      <sz val="11"/>
      <name val="Franklin Gothic Book"/>
      <family val="2"/>
    </font>
    <font>
      <i/>
      <u/>
      <sz val="12"/>
      <color theme="1"/>
      <name val="Franklin Gothic Book"/>
      <family val="2"/>
    </font>
    <font>
      <i/>
      <sz val="12"/>
      <color theme="1"/>
      <name val="Franklin Gothic Book"/>
      <family val="2"/>
    </font>
    <font>
      <i/>
      <u/>
      <sz val="11"/>
      <color rgb="FF0076AF"/>
      <name val="Franklin Gothic Book"/>
      <family val="2"/>
    </font>
    <font>
      <i/>
      <sz val="12"/>
      <color rgb="FF000000"/>
      <name val="Franklin Gothic Book"/>
      <family val="2"/>
    </font>
    <font>
      <sz val="12"/>
      <color rgb="FF000000"/>
      <name val="Franklin Gothic Book"/>
      <family val="2"/>
    </font>
    <font>
      <b/>
      <sz val="10"/>
      <color theme="1"/>
      <name val="Franklin Gothic Book"/>
      <family val="2"/>
    </font>
    <font>
      <sz val="11"/>
      <color theme="1"/>
      <name val="Calibri"/>
      <family val="2"/>
    </font>
    <font>
      <b/>
      <i/>
      <u/>
      <sz val="11"/>
      <color theme="1"/>
      <name val="Franklin Gothic Book"/>
      <family val="2"/>
    </font>
    <font>
      <sz val="11"/>
      <color rgb="FFFF0000"/>
      <name val="Franklin Gothic Book"/>
      <family val="2"/>
    </font>
    <font>
      <b/>
      <sz val="20"/>
      <color rgb="FF000000"/>
      <name val="Franklin Gothic Book"/>
      <family val="2"/>
    </font>
    <font>
      <b/>
      <sz val="20"/>
      <color theme="1"/>
      <name val="Franklin Gothic Book"/>
      <family val="2"/>
    </font>
    <font>
      <b/>
      <u/>
      <sz val="12"/>
      <name val="Franklin Gothic Book"/>
      <family val="2"/>
    </font>
    <font>
      <b/>
      <sz val="12"/>
      <name val="Franklin Gothic Book"/>
      <family val="2"/>
    </font>
    <font>
      <i/>
      <sz val="12"/>
      <name val="Franklin Gothic Book"/>
      <family val="2"/>
    </font>
    <font>
      <sz val="12"/>
      <name val="Franklin Gothic Book"/>
      <family val="2"/>
    </font>
    <font>
      <sz val="11"/>
      <color theme="0"/>
      <name val="Franklin Gothic Book"/>
      <family val="2"/>
    </font>
    <font>
      <i/>
      <sz val="10"/>
      <color rgb="FF000000"/>
      <name val="Franklin Gothic Book"/>
      <family val="2"/>
    </font>
    <font>
      <sz val="10"/>
      <color theme="1"/>
      <name val="Franklin Gothic Book"/>
      <family val="2"/>
    </font>
    <font>
      <b/>
      <sz val="10"/>
      <color rgb="FF000000"/>
      <name val="Franklin Gothic Book"/>
      <family val="2"/>
    </font>
    <font>
      <i/>
      <u/>
      <sz val="10"/>
      <color theme="1"/>
      <name val="Franklin Gothic Book"/>
      <family val="2"/>
    </font>
    <font>
      <b/>
      <i/>
      <u/>
      <sz val="10"/>
      <color rgb="FF000000"/>
      <name val="Franklin Gothic Book"/>
      <family val="2"/>
    </font>
    <font>
      <b/>
      <i/>
      <u/>
      <sz val="10"/>
      <color theme="1"/>
      <name val="Franklin Gothic Book"/>
      <family val="2"/>
    </font>
    <font>
      <u/>
      <sz val="10"/>
      <color theme="10"/>
      <name val="Calibri"/>
      <family val="2"/>
      <scheme val="minor"/>
    </font>
    <font>
      <sz val="10"/>
      <color rgb="FF000000"/>
      <name val="Franklin Gothic Book"/>
      <family val="2"/>
    </font>
    <font>
      <b/>
      <i/>
      <sz val="10"/>
      <name val="Franklin Gothic Book"/>
      <family val="2"/>
    </font>
    <font>
      <b/>
      <i/>
      <sz val="10"/>
      <color theme="1"/>
      <name val="Franklin Gothic Book"/>
      <family val="2"/>
    </font>
    <font>
      <i/>
      <sz val="10"/>
      <color theme="1"/>
      <name val="Franklin Gothic Book"/>
      <family val="2"/>
    </font>
    <font>
      <b/>
      <sz val="10"/>
      <name val="Franklin Gothic Book"/>
      <family val="2"/>
    </font>
    <font>
      <i/>
      <sz val="10"/>
      <name val="Franklin Gothic Book"/>
      <family val="2"/>
    </font>
    <font>
      <i/>
      <sz val="10"/>
      <color theme="10"/>
      <name val="Franklin Gothic Book"/>
      <family val="2"/>
    </font>
    <font>
      <b/>
      <sz val="10"/>
      <color rgb="FF165B89"/>
      <name val="Franklin Gothic Book"/>
      <family val="2"/>
    </font>
    <font>
      <b/>
      <sz val="10"/>
      <color rgb="FF000000"/>
      <name val="Wingdings"/>
      <charset val="2"/>
    </font>
    <font>
      <b/>
      <u/>
      <sz val="10"/>
      <color rgb="FF165B89"/>
      <name val="Franklin Gothic Book"/>
      <family val="2"/>
    </font>
    <font>
      <sz val="10"/>
      <name val="Franklin Gothic Book"/>
      <family val="2"/>
    </font>
    <font>
      <b/>
      <u/>
      <sz val="10"/>
      <color theme="1"/>
      <name val="Franklin Gothic Book"/>
      <family val="2"/>
    </font>
    <font>
      <b/>
      <u/>
      <sz val="10"/>
      <name val="Franklin Gothic Book"/>
      <family val="2"/>
    </font>
    <font>
      <u/>
      <sz val="10"/>
      <color theme="10"/>
      <name val="Franklin Gothic Book"/>
      <family val="2"/>
    </font>
    <font>
      <i/>
      <u/>
      <sz val="10"/>
      <color rgb="FF0076AF"/>
      <name val="Franklin Gothic Book"/>
      <family val="2"/>
    </font>
    <font>
      <b/>
      <u/>
      <sz val="10"/>
      <color theme="10"/>
      <name val="Franklin Gothic Book"/>
      <family val="2"/>
    </font>
    <font>
      <b/>
      <i/>
      <sz val="10"/>
      <color rgb="FF000000"/>
      <name val="Franklin Gothic Book"/>
      <family val="2"/>
    </font>
    <font>
      <i/>
      <sz val="12"/>
      <name val="Calibri"/>
      <family val="2"/>
      <scheme val="minor"/>
    </font>
    <font>
      <i/>
      <sz val="10"/>
      <name val="Calibri"/>
      <family val="2"/>
      <scheme val="minor"/>
    </font>
    <font>
      <u/>
      <sz val="12"/>
      <color rgb="FF0070C0"/>
      <name val="Calibri"/>
      <family val="2"/>
      <scheme val="minor"/>
    </font>
    <font>
      <b/>
      <u/>
      <sz val="14"/>
      <color theme="1"/>
      <name val="Franklin Gothic Book"/>
      <family val="2"/>
    </font>
    <font>
      <i/>
      <u/>
      <sz val="12"/>
      <color theme="10"/>
      <name val="Calibri"/>
      <family val="2"/>
      <scheme val="minor"/>
    </font>
    <font>
      <sz val="9"/>
      <color indexed="81"/>
      <name val="Tahoma"/>
      <family val="2"/>
    </font>
    <font>
      <b/>
      <sz val="9"/>
      <color indexed="81"/>
      <name val="Tahoma"/>
      <family val="2"/>
    </font>
    <font>
      <i/>
      <sz val="20"/>
      <color theme="1"/>
      <name val="Franklin Gothic Book"/>
      <family val="2"/>
    </font>
    <font>
      <sz val="10"/>
      <color rgb="FF000000"/>
      <name val="Franklin Gothic Book"/>
      <family val="2"/>
    </font>
    <font>
      <sz val="10"/>
      <color theme="1"/>
      <name val="Times New Roman"/>
      <family val="1"/>
    </font>
    <font>
      <sz val="10"/>
      <color rgb="FF000000"/>
      <name val="Calibri"/>
      <family val="2"/>
      <scheme val="minor"/>
    </font>
    <font>
      <sz val="12"/>
      <name val="Franklin Gothic Book"/>
      <family val="2"/>
    </font>
    <font>
      <sz val="10"/>
      <name val="Franklin Gothic Book"/>
      <family val="2"/>
    </font>
    <font>
      <u/>
      <sz val="12"/>
      <name val="Franklin Gothic Book"/>
      <family val="2"/>
    </font>
    <font>
      <sz val="10"/>
      <color theme="1"/>
      <name val="Franklin Gothic Book"/>
      <family val="2"/>
      <charset val="1"/>
    </font>
    <font>
      <sz val="10"/>
      <color theme="8"/>
      <name val="Franklin Gothic Book"/>
      <family val="2"/>
    </font>
    <font>
      <sz val="11"/>
      <color theme="9" tint="-0.249977111117893"/>
      <name val="Franklin Gothic Book"/>
      <family val="2"/>
    </font>
    <font>
      <sz val="12"/>
      <name val="Calibri"/>
      <family val="2"/>
      <scheme val="minor"/>
    </font>
    <font>
      <u/>
      <sz val="11"/>
      <color theme="10"/>
      <name val="Calibri"/>
      <family val="2"/>
      <scheme val="minor"/>
    </font>
    <font>
      <sz val="11"/>
      <color rgb="FF000000"/>
      <name val="Calibri"/>
      <family val="2"/>
      <scheme val="minor"/>
    </font>
    <font>
      <sz val="12"/>
      <color rgb="FFFF0000"/>
      <name val="Franklin Gothic Book"/>
      <family val="2"/>
    </font>
    <font>
      <sz val="11"/>
      <color theme="4"/>
      <name val="Franklin Gothic Book"/>
      <family val="2"/>
    </font>
    <font>
      <sz val="10"/>
      <color theme="1" tint="4.9989318521683403E-2"/>
      <name val="Franklin Gothic Book"/>
      <family val="2"/>
    </font>
  </fonts>
  <fills count="20">
    <fill>
      <patternFill patternType="none"/>
    </fill>
    <fill>
      <patternFill patternType="gray125"/>
    </fill>
    <fill>
      <patternFill patternType="solid">
        <fgColor theme="4" tint="0.79998168889431442"/>
        <bgColor indexed="64"/>
      </patternFill>
    </fill>
    <fill>
      <patternFill patternType="solid">
        <fgColor rgb="FFF6A70A"/>
        <bgColor indexed="64"/>
      </patternFill>
    </fill>
    <fill>
      <patternFill patternType="solid">
        <fgColor theme="0" tint="-0.249977111117893"/>
        <bgColor indexed="64"/>
      </patternFill>
    </fill>
    <fill>
      <patternFill patternType="solid">
        <fgColor rgb="FFFF7700"/>
        <bgColor indexed="64"/>
      </patternFill>
    </fill>
    <fill>
      <patternFill patternType="solid">
        <fgColor theme="2"/>
        <bgColor indexed="64"/>
      </patternFill>
    </fill>
    <fill>
      <patternFill patternType="solid">
        <fgColor rgb="FF165B89"/>
        <bgColor theme="4"/>
      </patternFill>
    </fill>
    <fill>
      <patternFill patternType="solid">
        <fgColor theme="2"/>
        <bgColor theme="4" tint="0.79998168889431442"/>
      </patternFill>
    </fill>
    <fill>
      <patternFill patternType="solid">
        <fgColor rgb="FFF2F2F2"/>
        <bgColor indexed="64"/>
      </patternFill>
    </fill>
    <fill>
      <patternFill patternType="solid">
        <fgColor theme="0"/>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rgb="FFF6A70A"/>
        <bgColor rgb="FF000000"/>
      </patternFill>
    </fill>
    <fill>
      <patternFill patternType="solid">
        <fgColor theme="7"/>
        <bgColor rgb="FF000000"/>
      </patternFill>
    </fill>
    <fill>
      <patternFill patternType="solid">
        <fgColor rgb="FFF7A516"/>
        <bgColor indexed="64"/>
      </patternFill>
    </fill>
    <fill>
      <patternFill patternType="solid">
        <fgColor theme="5"/>
        <bgColor indexed="64"/>
      </patternFill>
    </fill>
    <fill>
      <patternFill patternType="solid">
        <fgColor rgb="FFFF7F0E"/>
        <bgColor indexed="64"/>
      </patternFill>
    </fill>
    <fill>
      <patternFill patternType="solid">
        <fgColor rgb="FFED7D31"/>
        <bgColor indexed="64"/>
      </patternFill>
    </fill>
    <fill>
      <patternFill patternType="solid">
        <fgColor rgb="FFFFFF00"/>
        <bgColor indexed="64"/>
      </patternFill>
    </fill>
  </fills>
  <borders count="64">
    <border>
      <start/>
      <end/>
      <top/>
      <bottom/>
      <diagonal/>
    </border>
    <border>
      <start style="dashed">
        <color indexed="64"/>
      </start>
      <end style="dashed">
        <color indexed="64"/>
      </end>
      <top style="thin">
        <color indexed="64"/>
      </top>
      <bottom style="dashed">
        <color indexed="64"/>
      </bottom>
      <diagonal/>
    </border>
    <border>
      <start style="dashed">
        <color indexed="64"/>
      </start>
      <end style="thin">
        <color indexed="64"/>
      </end>
      <top style="thin">
        <color indexed="64"/>
      </top>
      <bottom style="dashed">
        <color indexed="64"/>
      </bottom>
      <diagonal/>
    </border>
    <border>
      <start style="dashed">
        <color indexed="64"/>
      </start>
      <end style="dashed">
        <color indexed="64"/>
      </end>
      <top style="dashed">
        <color indexed="64"/>
      </top>
      <bottom style="dashed">
        <color indexed="64"/>
      </bottom>
      <diagonal/>
    </border>
    <border>
      <start style="dashed">
        <color indexed="64"/>
      </start>
      <end style="thin">
        <color indexed="64"/>
      </end>
      <top style="dashed">
        <color indexed="64"/>
      </top>
      <bottom style="dashed">
        <color indexed="64"/>
      </bottom>
      <diagonal/>
    </border>
    <border>
      <start style="thin">
        <color auto="1"/>
      </start>
      <end style="hair">
        <color auto="1"/>
      </end>
      <top style="thin">
        <color auto="1"/>
      </top>
      <bottom style="hair">
        <color auto="1"/>
      </bottom>
      <diagonal/>
    </border>
    <border>
      <start style="hair">
        <color auto="1"/>
      </start>
      <end style="hair">
        <color auto="1"/>
      </end>
      <top style="thin">
        <color auto="1"/>
      </top>
      <bottom style="hair">
        <color auto="1"/>
      </bottom>
      <diagonal/>
    </border>
    <border>
      <start style="thin">
        <color auto="1"/>
      </start>
      <end style="hair">
        <color auto="1"/>
      </end>
      <top style="hair">
        <color auto="1"/>
      </top>
      <bottom style="hair">
        <color auto="1"/>
      </bottom>
      <diagonal/>
    </border>
    <border>
      <start style="hair">
        <color auto="1"/>
      </start>
      <end style="hair">
        <color auto="1"/>
      </end>
      <top style="hair">
        <color auto="1"/>
      </top>
      <bottom style="hair">
        <color auto="1"/>
      </bottom>
      <diagonal/>
    </border>
    <border>
      <start style="thin">
        <color auto="1"/>
      </start>
      <end style="hair">
        <color auto="1"/>
      </end>
      <top style="hair">
        <color auto="1"/>
      </top>
      <bottom style="thin">
        <color auto="1"/>
      </bottom>
      <diagonal/>
    </border>
    <border>
      <start style="hair">
        <color auto="1"/>
      </start>
      <end style="hair">
        <color auto="1"/>
      </end>
      <top style="hair">
        <color auto="1"/>
      </top>
      <bottom style="thin">
        <color auto="1"/>
      </bottom>
      <diagonal/>
    </border>
    <border>
      <start style="thin">
        <color auto="1"/>
      </start>
      <end/>
      <top style="thin">
        <color auto="1"/>
      </top>
      <bottom style="thin">
        <color auto="1"/>
      </bottom>
      <diagonal/>
    </border>
    <border>
      <start/>
      <end/>
      <top style="thin">
        <color auto="1"/>
      </top>
      <bottom style="thin">
        <color auto="1"/>
      </bottom>
      <diagonal/>
    </border>
    <border>
      <start style="thin">
        <color auto="1"/>
      </start>
      <end style="hair">
        <color auto="1"/>
      </end>
      <top/>
      <bottom style="hair">
        <color auto="1"/>
      </bottom>
      <diagonal/>
    </border>
    <border>
      <start style="thin">
        <color auto="1"/>
      </start>
      <end style="hair">
        <color auto="1"/>
      </end>
      <top style="hair">
        <color auto="1"/>
      </top>
      <bottom/>
      <diagonal/>
    </border>
    <border>
      <start style="hair">
        <color auto="1"/>
      </start>
      <end style="hair">
        <color auto="1"/>
      </end>
      <top style="hair">
        <color auto="1"/>
      </top>
      <bottom/>
      <diagonal/>
    </border>
    <border>
      <start style="thin">
        <color auto="1"/>
      </start>
      <end style="hair">
        <color auto="1"/>
      </end>
      <top/>
      <bottom/>
      <diagonal/>
    </border>
    <border>
      <start style="hair">
        <color auto="1"/>
      </start>
      <end style="hair">
        <color auto="1"/>
      </end>
      <top/>
      <bottom/>
      <diagonal/>
    </border>
    <border>
      <start style="hair">
        <color auto="1"/>
      </start>
      <end style="hair">
        <color auto="1"/>
      </end>
      <top/>
      <bottom style="hair">
        <color auto="1"/>
      </bottom>
      <diagonal/>
    </border>
    <border>
      <start style="dashed">
        <color indexed="64"/>
      </start>
      <end style="thin">
        <color indexed="64"/>
      </end>
      <top style="thin">
        <color indexed="64"/>
      </top>
      <bottom/>
      <diagonal/>
    </border>
    <border>
      <start style="dashed">
        <color indexed="64"/>
      </start>
      <end style="thin">
        <color indexed="64"/>
      </end>
      <top/>
      <bottom/>
      <diagonal/>
    </border>
    <border>
      <start style="dashed">
        <color indexed="64"/>
      </start>
      <end style="thin">
        <color indexed="64"/>
      </end>
      <top/>
      <bottom style="dashed">
        <color indexed="64"/>
      </bottom>
      <diagonal/>
    </border>
    <border>
      <start style="dashed">
        <color indexed="64"/>
      </start>
      <end style="thin">
        <color indexed="64"/>
      </end>
      <top style="dashed">
        <color indexed="64"/>
      </top>
      <bottom/>
      <diagonal/>
    </border>
    <border>
      <start style="hair">
        <color auto="1"/>
      </start>
      <end style="hair">
        <color auto="1"/>
      </end>
      <top/>
      <bottom style="thin">
        <color auto="1"/>
      </bottom>
      <diagonal/>
    </border>
    <border>
      <start style="thin">
        <color indexed="64"/>
      </start>
      <end/>
      <top style="thin">
        <color indexed="64"/>
      </top>
      <bottom/>
      <diagonal/>
    </border>
    <border>
      <start/>
      <end/>
      <top style="thin">
        <color indexed="64"/>
      </top>
      <bottom/>
      <diagonal/>
    </border>
    <border>
      <start style="thin">
        <color indexed="64"/>
      </start>
      <end/>
      <top/>
      <bottom style="thin">
        <color indexed="64"/>
      </bottom>
      <diagonal/>
    </border>
    <border>
      <start/>
      <end/>
      <top/>
      <bottom style="thin">
        <color indexed="64"/>
      </bottom>
      <diagonal/>
    </border>
    <border>
      <start/>
      <end style="thin">
        <color indexed="64"/>
      </end>
      <top/>
      <bottom style="thin">
        <color indexed="64"/>
      </bottom>
      <diagonal/>
    </border>
    <border>
      <start/>
      <end style="thin">
        <color theme="0"/>
      </end>
      <top/>
      <bottom style="medium">
        <color indexed="64"/>
      </bottom>
      <diagonal/>
    </border>
    <border>
      <start/>
      <end/>
      <top/>
      <bottom style="medium">
        <color indexed="64"/>
      </bottom>
      <diagonal/>
    </border>
    <border>
      <start style="thin">
        <color theme="0"/>
      </start>
      <end style="thin">
        <color theme="0"/>
      </end>
      <top/>
      <bottom style="medium">
        <color indexed="64"/>
      </bottom>
      <diagonal/>
    </border>
    <border>
      <start style="thin">
        <color theme="0"/>
      </start>
      <end/>
      <top/>
      <bottom style="medium">
        <color indexed="64"/>
      </bottom>
      <diagonal/>
    </border>
    <border>
      <start style="medium">
        <color theme="0"/>
      </start>
      <end/>
      <top/>
      <bottom style="medium">
        <color theme="0"/>
      </bottom>
      <diagonal/>
    </border>
    <border>
      <start/>
      <end/>
      <top/>
      <bottom style="medium">
        <color theme="0"/>
      </bottom>
      <diagonal/>
    </border>
    <border>
      <start style="medium">
        <color theme="0"/>
      </start>
      <end/>
      <top/>
      <bottom/>
      <diagonal/>
    </border>
    <border>
      <start/>
      <end/>
      <top style="medium">
        <color rgb="FF1BC2EE"/>
      </top>
      <bottom/>
      <diagonal/>
    </border>
    <border>
      <start/>
      <end/>
      <top style="medium">
        <color indexed="64"/>
      </top>
      <bottom/>
      <diagonal/>
    </border>
    <border>
      <start/>
      <end style="thin">
        <color theme="0"/>
      </end>
      <top/>
      <bottom/>
      <diagonal/>
    </border>
    <border>
      <start style="medium">
        <color indexed="64"/>
      </start>
      <end/>
      <top style="medium">
        <color indexed="64"/>
      </top>
      <bottom style="medium">
        <color indexed="64"/>
      </bottom>
      <diagonal/>
    </border>
    <border>
      <start/>
      <end style="medium">
        <color indexed="64"/>
      </end>
      <top style="medium">
        <color indexed="64"/>
      </top>
      <bottom style="medium">
        <color indexed="64"/>
      </bottom>
      <diagonal/>
    </border>
    <border>
      <start/>
      <end/>
      <top style="thin">
        <color indexed="64"/>
      </top>
      <bottom style="double">
        <color indexed="64"/>
      </bottom>
      <diagonal/>
    </border>
    <border>
      <start/>
      <end/>
      <top/>
      <bottom style="medium">
        <color rgb="FF1BC2EE"/>
      </bottom>
      <diagonal/>
    </border>
    <border>
      <start/>
      <end/>
      <top style="medium">
        <color indexed="64"/>
      </top>
      <bottom style="medium">
        <color indexed="64"/>
      </bottom>
      <diagonal/>
    </border>
    <border>
      <start style="thin">
        <color indexed="64"/>
      </start>
      <end style="thin">
        <color indexed="64"/>
      </end>
      <top style="thin">
        <color indexed="64"/>
      </top>
      <bottom style="thin">
        <color indexed="64"/>
      </bottom>
      <diagonal/>
    </border>
    <border>
      <start style="thin">
        <color theme="0"/>
      </start>
      <end style="thin">
        <color theme="0"/>
      </end>
      <top/>
      <bottom/>
      <diagonal/>
    </border>
    <border>
      <start style="thin">
        <color theme="0"/>
      </start>
      <end/>
      <top/>
      <bottom/>
      <diagonal/>
    </border>
    <border>
      <start/>
      <end style="thin">
        <color theme="0"/>
      </end>
      <top style="thin">
        <color indexed="64"/>
      </top>
      <bottom/>
      <diagonal/>
    </border>
    <border>
      <start style="thin">
        <color theme="0"/>
      </start>
      <end/>
      <top style="thin">
        <color indexed="64"/>
      </top>
      <bottom/>
      <diagonal/>
    </border>
    <border>
      <start/>
      <end style="thin">
        <color theme="0"/>
      </end>
      <top style="medium">
        <color indexed="64"/>
      </top>
      <bottom style="medium">
        <color indexed="64"/>
      </bottom>
      <diagonal/>
    </border>
    <border>
      <start style="thin">
        <color theme="0"/>
      </start>
      <end/>
      <top style="medium">
        <color auto="1"/>
      </top>
      <bottom style="medium">
        <color auto="1"/>
      </bottom>
      <diagonal/>
    </border>
    <border>
      <start style="thin">
        <color theme="0"/>
      </start>
      <end/>
      <top/>
      <bottom style="thin">
        <color indexed="64"/>
      </bottom>
      <diagonal/>
    </border>
    <border>
      <start/>
      <end/>
      <top style="medium">
        <color indexed="64"/>
      </top>
      <bottom style="medium">
        <color theme="0"/>
      </bottom>
      <diagonal/>
    </border>
    <border>
      <start style="medium">
        <color theme="0"/>
      </start>
      <end/>
      <top style="medium">
        <color theme="0"/>
      </top>
      <bottom style="medium">
        <color theme="0"/>
      </bottom>
      <diagonal/>
    </border>
    <border>
      <start/>
      <end/>
      <top style="medium">
        <color theme="0"/>
      </top>
      <bottom style="medium">
        <color theme="0"/>
      </bottom>
      <diagonal/>
    </border>
    <border>
      <start/>
      <end style="medium">
        <color theme="0"/>
      </end>
      <top style="medium">
        <color theme="0"/>
      </top>
      <bottom style="medium">
        <color theme="0"/>
      </bottom>
      <diagonal/>
    </border>
    <border>
      <start/>
      <end/>
      <top style="medium">
        <color theme="0"/>
      </top>
      <bottom style="medium">
        <color rgb="FF1BC2EE"/>
      </bottom>
      <diagonal/>
    </border>
    <border>
      <start style="thin">
        <color indexed="64"/>
      </start>
      <end style="thin">
        <color indexed="64"/>
      </end>
      <top style="thin">
        <color indexed="64"/>
      </top>
      <bottom/>
      <diagonal/>
    </border>
    <border>
      <start style="thin">
        <color indexed="64"/>
      </start>
      <end style="thin">
        <color indexed="64"/>
      </end>
      <top/>
      <bottom/>
      <diagonal/>
    </border>
    <border>
      <start style="thin">
        <color indexed="64"/>
      </start>
      <end/>
      <top/>
      <bottom/>
      <diagonal/>
    </border>
    <border>
      <start style="thin">
        <color indexed="64"/>
      </start>
      <end style="thin">
        <color indexed="64"/>
      </end>
      <top/>
      <bottom style="thin">
        <color indexed="64"/>
      </bottom>
      <diagonal/>
    </border>
    <border>
      <start style="hair">
        <color auto="1"/>
      </start>
      <end/>
      <top style="hair">
        <color auto="1"/>
      </top>
      <bottom/>
      <diagonal/>
    </border>
    <border>
      <start style="hair">
        <color auto="1"/>
      </start>
      <end/>
      <top/>
      <bottom/>
      <diagonal/>
    </border>
    <border>
      <start style="hair">
        <color auto="1"/>
      </start>
      <end/>
      <top/>
      <bottom style="thin">
        <color indexed="64"/>
      </bottom>
      <diagonal/>
    </border>
  </borders>
  <cellStyleXfs count="9">
    <xf numFmtId="0" fontId="0" fillId="0" borderId="0"/>
    <xf numFmtId="0" fontId="2" fillId="0" borderId="0" applyNumberFormat="0" applyFill="0" applyBorder="0" applyAlignment="0" applyProtection="0"/>
    <xf numFmtId="0" fontId="1" fillId="0" borderId="0"/>
    <xf numFmtId="0" fontId="2" fillId="0" borderId="0" applyNumberFormat="0" applyFill="0" applyBorder="0" applyAlignment="0" applyProtection="0"/>
    <xf numFmtId="0" fontId="21" fillId="0" borderId="0" applyNumberFormat="0" applyFill="0" applyBorder="0" applyAlignment="0" applyProtection="0"/>
    <xf numFmtId="164" fontId="28" fillId="0" borderId="0" applyFont="0" applyFill="0" applyBorder="0" applyAlignment="0" applyProtection="0"/>
    <xf numFmtId="0" fontId="28" fillId="0" borderId="0"/>
    <xf numFmtId="0" fontId="40" fillId="0" borderId="0" applyNumberFormat="0" applyFill="0" applyBorder="0" applyAlignment="0" applyProtection="0"/>
    <xf numFmtId="43" fontId="1" fillId="0" borderId="0" applyFont="0" applyFill="0" applyBorder="0" applyAlignment="0" applyProtection="0"/>
  </cellStyleXfs>
  <cellXfs count="591">
    <xf numFmtId="0" fontId="0" fillId="0" borderId="0" xfId="0"/>
    <xf numFmtId="0" fontId="3" fillId="0" borderId="0" xfId="2" applyFont="1" applyAlignment="1">
      <alignment horizontal="left" vertical="center"/>
    </xf>
    <xf numFmtId="0" fontId="4" fillId="0" borderId="0" xfId="2" applyFont="1" applyAlignment="1">
      <alignment horizontal="left" vertical="center"/>
    </xf>
    <xf numFmtId="0" fontId="5" fillId="0" borderId="0" xfId="2" applyFont="1" applyAlignment="1">
      <alignment horizontal="left" vertical="center"/>
    </xf>
    <xf numFmtId="0" fontId="6" fillId="0" borderId="0" xfId="2" applyFont="1" applyAlignment="1">
      <alignment horizontal="left" vertical="center"/>
    </xf>
    <xf numFmtId="0" fontId="7" fillId="3" borderId="3" xfId="2" applyFont="1" applyFill="1" applyBorder="1" applyAlignment="1">
      <alignment vertical="center" wrapText="1"/>
    </xf>
    <xf numFmtId="0" fontId="6" fillId="2" borderId="4" xfId="2" applyFont="1" applyFill="1" applyBorder="1" applyAlignment="1">
      <alignment horizontal="left" vertical="center"/>
    </xf>
    <xf numFmtId="0" fontId="6" fillId="0" borderId="6" xfId="2" applyFont="1" applyBorder="1" applyAlignment="1">
      <alignment horizontal="left" vertical="center"/>
    </xf>
    <xf numFmtId="0" fontId="7" fillId="3" borderId="6" xfId="2" applyFont="1" applyFill="1" applyBorder="1" applyAlignment="1">
      <alignment vertical="center" wrapText="1"/>
    </xf>
    <xf numFmtId="0" fontId="6" fillId="0" borderId="8" xfId="2" applyFont="1" applyBorder="1" applyAlignment="1">
      <alignment horizontal="left" vertical="center"/>
    </xf>
    <xf numFmtId="0" fontId="7" fillId="3" borderId="8" xfId="2" applyFont="1" applyFill="1" applyBorder="1" applyAlignment="1">
      <alignment vertical="center" wrapText="1"/>
    </xf>
    <xf numFmtId="0" fontId="6" fillId="0" borderId="10" xfId="2" applyFont="1" applyBorder="1" applyAlignment="1">
      <alignment horizontal="left" vertical="center"/>
    </xf>
    <xf numFmtId="0" fontId="7" fillId="3" borderId="10" xfId="2" applyFont="1" applyFill="1" applyBorder="1" applyAlignment="1">
      <alignment vertical="center" wrapText="1"/>
    </xf>
    <xf numFmtId="0" fontId="6" fillId="0" borderId="5" xfId="2" applyFont="1" applyBorder="1" applyAlignment="1">
      <alignment horizontal="left" vertical="center"/>
    </xf>
    <xf numFmtId="0" fontId="6" fillId="0" borderId="7" xfId="2" applyFont="1" applyBorder="1" applyAlignment="1">
      <alignment horizontal="left" vertical="center"/>
    </xf>
    <xf numFmtId="0" fontId="6" fillId="0" borderId="9" xfId="2" applyFont="1" applyBorder="1" applyAlignment="1">
      <alignment horizontal="left" vertical="center"/>
    </xf>
    <xf numFmtId="0" fontId="7" fillId="0" borderId="8" xfId="2" applyFont="1" applyBorder="1" applyAlignment="1">
      <alignment horizontal="left" vertical="center"/>
    </xf>
    <xf numFmtId="0" fontId="6" fillId="0" borderId="6" xfId="2" applyFont="1" applyBorder="1" applyAlignment="1">
      <alignment vertical="center"/>
    </xf>
    <xf numFmtId="0" fontId="6" fillId="0" borderId="8" xfId="2" applyFont="1" applyBorder="1" applyAlignment="1">
      <alignment vertical="center"/>
    </xf>
    <xf numFmtId="0" fontId="6" fillId="0" borderId="1" xfId="2" applyFont="1" applyBorder="1" applyAlignment="1">
      <alignment vertical="center"/>
    </xf>
    <xf numFmtId="0" fontId="6" fillId="0" borderId="0" xfId="2" applyFont="1" applyAlignment="1">
      <alignment vertical="center"/>
    </xf>
    <xf numFmtId="0" fontId="6" fillId="0" borderId="3" xfId="2" applyFont="1" applyBorder="1" applyAlignment="1">
      <alignment vertical="center"/>
    </xf>
    <xf numFmtId="0" fontId="7" fillId="0" borderId="6" xfId="2" applyFont="1" applyBorder="1" applyAlignment="1">
      <alignment horizontal="left" vertical="center" wrapText="1" indent="1"/>
    </xf>
    <xf numFmtId="0" fontId="7" fillId="0" borderId="8" xfId="2" applyFont="1" applyBorder="1" applyAlignment="1">
      <alignment horizontal="left" vertical="center" wrapText="1" indent="1"/>
    </xf>
    <xf numFmtId="0" fontId="7" fillId="3" borderId="8" xfId="2" applyFont="1" applyFill="1" applyBorder="1" applyAlignment="1">
      <alignment horizontal="left" vertical="center" wrapText="1" indent="3"/>
    </xf>
    <xf numFmtId="0" fontId="7" fillId="0" borderId="8" xfId="2" applyFont="1" applyBorder="1" applyAlignment="1">
      <alignment horizontal="left" vertical="center" wrapText="1" indent="3"/>
    </xf>
    <xf numFmtId="0" fontId="7" fillId="0" borderId="10" xfId="2" applyFont="1" applyBorder="1" applyAlignment="1">
      <alignment horizontal="left" vertical="center" wrapText="1" indent="3"/>
    </xf>
    <xf numFmtId="0" fontId="9" fillId="0" borderId="6" xfId="1" applyFont="1" applyFill="1" applyBorder="1" applyAlignment="1">
      <alignment horizontal="left" vertical="center" wrapText="1"/>
    </xf>
    <xf numFmtId="0" fontId="7" fillId="0" borderId="8" xfId="2" applyFont="1" applyBorder="1" applyAlignment="1">
      <alignment vertical="center" wrapText="1"/>
    </xf>
    <xf numFmtId="0" fontId="3" fillId="0" borderId="0" xfId="2" applyFont="1" applyAlignment="1">
      <alignment horizontal="left" vertical="center" wrapText="1"/>
    </xf>
    <xf numFmtId="0" fontId="5" fillId="0" borderId="0" xfId="2" applyFont="1" applyAlignment="1">
      <alignment horizontal="left" vertical="center" wrapText="1"/>
    </xf>
    <xf numFmtId="0" fontId="17" fillId="0" borderId="0" xfId="2" applyFont="1" applyAlignment="1">
      <alignment horizontal="left" vertical="center" wrapText="1"/>
    </xf>
    <xf numFmtId="0" fontId="14" fillId="0" borderId="11" xfId="2" applyFont="1" applyBorder="1" applyAlignment="1">
      <alignment horizontal="left" vertical="center" wrapText="1"/>
    </xf>
    <xf numFmtId="0" fontId="16" fillId="0" borderId="12" xfId="2" applyFont="1" applyBorder="1" applyAlignment="1">
      <alignment horizontal="left" vertical="center" wrapText="1"/>
    </xf>
    <xf numFmtId="0" fontId="17" fillId="0" borderId="12" xfId="2" applyFont="1" applyBorder="1" applyAlignment="1">
      <alignment horizontal="left" vertical="center" wrapText="1"/>
    </xf>
    <xf numFmtId="0" fontId="18" fillId="4" borderId="12" xfId="2" applyFont="1" applyFill="1" applyBorder="1" applyAlignment="1">
      <alignment horizontal="left" vertical="center" wrapText="1"/>
    </xf>
    <xf numFmtId="0" fontId="6" fillId="0" borderId="2" xfId="2" applyFont="1" applyBorder="1" applyAlignment="1">
      <alignment vertical="center"/>
    </xf>
    <xf numFmtId="0" fontId="6" fillId="5" borderId="4" xfId="2" applyFont="1" applyFill="1" applyBorder="1" applyAlignment="1">
      <alignment horizontal="left" vertical="center"/>
    </xf>
    <xf numFmtId="0" fontId="3" fillId="0" borderId="8" xfId="2" applyFont="1" applyBorder="1" applyAlignment="1">
      <alignment horizontal="left" vertical="center"/>
    </xf>
    <xf numFmtId="0" fontId="6" fillId="5" borderId="8" xfId="2" applyFont="1" applyFill="1" applyBorder="1" applyAlignment="1">
      <alignment horizontal="left" vertical="center"/>
    </xf>
    <xf numFmtId="0" fontId="17" fillId="0" borderId="8" xfId="2" applyFont="1" applyBorder="1" applyAlignment="1">
      <alignment horizontal="left" vertical="center" wrapText="1"/>
    </xf>
    <xf numFmtId="0" fontId="6" fillId="5" borderId="10" xfId="2" applyFont="1" applyFill="1" applyBorder="1" applyAlignment="1">
      <alignment horizontal="left" vertical="center"/>
    </xf>
    <xf numFmtId="0" fontId="14" fillId="0" borderId="0" xfId="2" applyFont="1" applyAlignment="1">
      <alignment horizontal="left" vertical="center" wrapText="1"/>
    </xf>
    <xf numFmtId="0" fontId="18" fillId="4" borderId="0" xfId="2" applyFont="1" applyFill="1" applyAlignment="1">
      <alignment horizontal="left" vertical="center" wrapText="1"/>
    </xf>
    <xf numFmtId="0" fontId="6" fillId="2" borderId="0" xfId="2" applyFont="1" applyFill="1" applyAlignment="1">
      <alignment horizontal="left" vertical="center"/>
    </xf>
    <xf numFmtId="0" fontId="3" fillId="0" borderId="6" xfId="2" applyFont="1" applyBorder="1" applyAlignment="1">
      <alignment horizontal="left" vertical="center" wrapText="1"/>
    </xf>
    <xf numFmtId="0" fontId="5" fillId="0" borderId="6" xfId="2" applyFont="1" applyBorder="1" applyAlignment="1">
      <alignment horizontal="left" vertical="center" wrapText="1"/>
    </xf>
    <xf numFmtId="0" fontId="4" fillId="0" borderId="8" xfId="2" applyFont="1" applyBorder="1" applyAlignment="1">
      <alignment horizontal="left" vertical="center"/>
    </xf>
    <xf numFmtId="0" fontId="5" fillId="0" borderId="8" xfId="2" applyFont="1" applyBorder="1" applyAlignment="1">
      <alignment horizontal="left" vertical="center"/>
    </xf>
    <xf numFmtId="0" fontId="6" fillId="2" borderId="8" xfId="2" applyFont="1" applyFill="1" applyBorder="1" applyAlignment="1">
      <alignment horizontal="left" vertical="center"/>
    </xf>
    <xf numFmtId="0" fontId="3" fillId="0" borderId="10" xfId="2" applyFont="1" applyBorder="1" applyAlignment="1">
      <alignment horizontal="left" vertical="center"/>
    </xf>
    <xf numFmtId="0" fontId="3" fillId="0" borderId="5" xfId="2" applyFont="1" applyBorder="1" applyAlignment="1">
      <alignment horizontal="left" vertical="center"/>
    </xf>
    <xf numFmtId="0" fontId="4" fillId="0" borderId="6" xfId="2" applyFont="1" applyBorder="1" applyAlignment="1">
      <alignment horizontal="left" vertical="center"/>
    </xf>
    <xf numFmtId="0" fontId="3" fillId="0" borderId="6" xfId="2" applyFont="1" applyBorder="1" applyAlignment="1">
      <alignment horizontal="left" vertical="center"/>
    </xf>
    <xf numFmtId="0" fontId="8" fillId="0" borderId="8" xfId="1" applyFont="1" applyFill="1" applyBorder="1" applyAlignment="1">
      <alignment horizontal="left" vertical="center" wrapText="1" indent="1"/>
    </xf>
    <xf numFmtId="0" fontId="8" fillId="0" borderId="8" xfId="1" applyFont="1" applyFill="1" applyBorder="1" applyAlignment="1">
      <alignment horizontal="left" vertical="center" wrapText="1" indent="2"/>
    </xf>
    <xf numFmtId="0" fontId="3" fillId="0" borderId="7" xfId="2" applyFont="1" applyBorder="1" applyAlignment="1">
      <alignment horizontal="left" vertical="center"/>
    </xf>
    <xf numFmtId="0" fontId="16" fillId="0" borderId="8" xfId="2" applyFont="1" applyBorder="1" applyAlignment="1">
      <alignment horizontal="left" vertical="center" wrapText="1"/>
    </xf>
    <xf numFmtId="0" fontId="18" fillId="4" borderId="8" xfId="2" applyFont="1" applyFill="1" applyBorder="1" applyAlignment="1">
      <alignment horizontal="left" vertical="center" wrapText="1"/>
    </xf>
    <xf numFmtId="0" fontId="8" fillId="0" borderId="8" xfId="1" applyFont="1" applyFill="1" applyBorder="1" applyAlignment="1">
      <alignment horizontal="left" vertical="center" wrapText="1" indent="3"/>
    </xf>
    <xf numFmtId="0" fontId="8" fillId="0" borderId="10" xfId="1" applyFont="1" applyFill="1" applyBorder="1" applyAlignment="1">
      <alignment horizontal="left" vertical="center" wrapText="1" indent="3"/>
    </xf>
    <xf numFmtId="0" fontId="17" fillId="0" borderId="10" xfId="2" applyFont="1" applyBorder="1" applyAlignment="1">
      <alignment horizontal="left" vertical="center" wrapText="1"/>
    </xf>
    <xf numFmtId="0" fontId="7" fillId="0" borderId="8" xfId="2" applyFont="1" applyBorder="1" applyAlignment="1">
      <alignment horizontal="left" vertical="center" indent="1"/>
    </xf>
    <xf numFmtId="0" fontId="10" fillId="3" borderId="8" xfId="2" applyFont="1" applyFill="1" applyBorder="1" applyAlignment="1">
      <alignment vertical="center"/>
    </xf>
    <xf numFmtId="0" fontId="8" fillId="0" borderId="8" xfId="1" applyFont="1" applyFill="1" applyBorder="1" applyAlignment="1">
      <alignment horizontal="left" vertical="center" wrapText="1"/>
    </xf>
    <xf numFmtId="0" fontId="5" fillId="0" borderId="5" xfId="2" applyFont="1" applyBorder="1" applyAlignment="1">
      <alignment horizontal="left" vertical="center"/>
    </xf>
    <xf numFmtId="0" fontId="5" fillId="0" borderId="7" xfId="2" applyFont="1" applyBorder="1" applyAlignment="1">
      <alignment horizontal="left" vertical="center"/>
    </xf>
    <xf numFmtId="0" fontId="14" fillId="0" borderId="7" xfId="2" applyFont="1" applyBorder="1" applyAlignment="1">
      <alignment horizontal="left" vertical="center"/>
    </xf>
    <xf numFmtId="0" fontId="6" fillId="0" borderId="14" xfId="2" applyFont="1" applyBorder="1" applyAlignment="1">
      <alignment horizontal="left" vertical="center"/>
    </xf>
    <xf numFmtId="0" fontId="6" fillId="0" borderId="15" xfId="2" applyFont="1" applyBorder="1" applyAlignment="1">
      <alignment horizontal="left" vertical="center"/>
    </xf>
    <xf numFmtId="0" fontId="17" fillId="0" borderId="15" xfId="2" applyFont="1" applyBorder="1" applyAlignment="1">
      <alignment horizontal="left" vertical="center" wrapText="1"/>
    </xf>
    <xf numFmtId="0" fontId="7" fillId="3" borderId="15" xfId="2" applyFont="1" applyFill="1" applyBorder="1" applyAlignment="1">
      <alignment vertical="center" wrapText="1"/>
    </xf>
    <xf numFmtId="0" fontId="6" fillId="5" borderId="15" xfId="2" applyFont="1" applyFill="1" applyBorder="1" applyAlignment="1">
      <alignment horizontal="left" vertical="center"/>
    </xf>
    <xf numFmtId="0" fontId="8" fillId="0" borderId="15" xfId="1" applyFont="1" applyFill="1" applyBorder="1" applyAlignment="1">
      <alignment horizontal="left" vertical="center" wrapText="1" indent="3"/>
    </xf>
    <xf numFmtId="0" fontId="10" fillId="0" borderId="8" xfId="2" applyFont="1" applyBorder="1" applyAlignment="1">
      <alignment horizontal="left" vertical="center" wrapText="1"/>
    </xf>
    <xf numFmtId="0" fontId="6" fillId="0" borderId="7" xfId="0" applyFont="1" applyBorder="1"/>
    <xf numFmtId="0" fontId="6" fillId="0" borderId="8" xfId="0" applyFont="1" applyBorder="1"/>
    <xf numFmtId="0" fontId="17" fillId="0" borderId="8" xfId="2" applyFont="1" applyBorder="1" applyAlignment="1">
      <alignment horizontal="left" vertical="center"/>
    </xf>
    <xf numFmtId="0" fontId="6" fillId="0" borderId="8" xfId="0" applyFont="1" applyBorder="1" applyAlignment="1">
      <alignment wrapText="1"/>
    </xf>
    <xf numFmtId="0" fontId="7" fillId="0" borderId="8" xfId="2" applyFont="1" applyBorder="1" applyAlignment="1">
      <alignment horizontal="left" vertical="center" wrapText="1"/>
    </xf>
    <xf numFmtId="0" fontId="7" fillId="0" borderId="15" xfId="2" applyFont="1" applyBorder="1" applyAlignment="1">
      <alignment horizontal="left" vertical="center" wrapText="1"/>
    </xf>
    <xf numFmtId="0" fontId="4" fillId="0" borderId="6" xfId="2" applyFont="1" applyBorder="1" applyAlignment="1">
      <alignment horizontal="left" vertical="center" wrapText="1"/>
    </xf>
    <xf numFmtId="0" fontId="7" fillId="0" borderId="8" xfId="2" applyFont="1" applyBorder="1" applyAlignment="1">
      <alignment vertical="center"/>
    </xf>
    <xf numFmtId="0" fontId="4" fillId="0" borderId="6" xfId="2" applyFont="1" applyBorder="1" applyAlignment="1">
      <alignment vertical="center"/>
    </xf>
    <xf numFmtId="0" fontId="7" fillId="3" borderId="8" xfId="2" applyFont="1" applyFill="1" applyBorder="1" applyAlignment="1">
      <alignment horizontal="center" vertical="center" wrapText="1"/>
    </xf>
    <xf numFmtId="0" fontId="17" fillId="0" borderId="0" xfId="2" applyFont="1" applyAlignment="1">
      <alignment horizontal="left" vertical="center"/>
    </xf>
    <xf numFmtId="0" fontId="15" fillId="0" borderId="0" xfId="2" applyFont="1" applyAlignment="1">
      <alignment horizontal="left" vertical="center"/>
    </xf>
    <xf numFmtId="0" fontId="14" fillId="0" borderId="0" xfId="2" applyFont="1" applyAlignment="1">
      <alignment horizontal="left" vertical="center"/>
    </xf>
    <xf numFmtId="0" fontId="27" fillId="0" borderId="0" xfId="2" applyFont="1" applyAlignment="1">
      <alignment vertical="center"/>
    </xf>
    <xf numFmtId="0" fontId="15" fillId="0" borderId="0" xfId="2" applyFont="1" applyAlignment="1">
      <alignment vertical="center"/>
    </xf>
    <xf numFmtId="164" fontId="6" fillId="0" borderId="0" xfId="5" applyFont="1" applyFill="1" applyAlignment="1">
      <alignment horizontal="left" vertical="center"/>
    </xf>
    <xf numFmtId="164" fontId="15" fillId="0" borderId="0" xfId="5" applyFont="1" applyFill="1" applyAlignment="1">
      <alignment horizontal="left" vertical="center"/>
    </xf>
    <xf numFmtId="0" fontId="15" fillId="8" borderId="26" xfId="2" applyFont="1" applyFill="1" applyBorder="1" applyAlignment="1">
      <alignment vertical="center"/>
    </xf>
    <xf numFmtId="0" fontId="15" fillId="6" borderId="27" xfId="2" applyFont="1" applyFill="1" applyBorder="1" applyAlignment="1">
      <alignment vertical="center"/>
    </xf>
    <xf numFmtId="0" fontId="15" fillId="8" borderId="28" xfId="2" applyFont="1" applyFill="1" applyBorder="1" applyAlignment="1">
      <alignment vertical="center"/>
    </xf>
    <xf numFmtId="165" fontId="15" fillId="0" borderId="0" xfId="5" applyNumberFormat="1" applyFont="1" applyFill="1" applyAlignment="1">
      <alignment horizontal="left" vertical="center"/>
    </xf>
    <xf numFmtId="0" fontId="6" fillId="0" borderId="0" xfId="6" applyFont="1"/>
    <xf numFmtId="0" fontId="6" fillId="0" borderId="0" xfId="2" applyFont="1" applyAlignment="1">
      <alignment horizontal="right" vertical="center"/>
    </xf>
    <xf numFmtId="0" fontId="41" fillId="0" borderId="0" xfId="7" applyFont="1"/>
    <xf numFmtId="164" fontId="6" fillId="0" borderId="0" xfId="5" applyFont="1"/>
    <xf numFmtId="0" fontId="14" fillId="9" borderId="30" xfId="6" applyFont="1" applyFill="1" applyBorder="1" applyAlignment="1">
      <alignment vertical="center"/>
    </xf>
    <xf numFmtId="0" fontId="16" fillId="0" borderId="0" xfId="2" applyFont="1" applyAlignment="1">
      <alignment vertical="center"/>
    </xf>
    <xf numFmtId="164" fontId="6" fillId="0" borderId="0" xfId="6" applyNumberFormat="1" applyFont="1"/>
    <xf numFmtId="0" fontId="41" fillId="0" borderId="0" xfId="7" applyNumberFormat="1" applyFont="1"/>
    <xf numFmtId="43" fontId="6" fillId="0" borderId="0" xfId="6" applyNumberFormat="1" applyFont="1"/>
    <xf numFmtId="0" fontId="15" fillId="0" borderId="0" xfId="6" applyFont="1"/>
    <xf numFmtId="0" fontId="42" fillId="0" borderId="39" xfId="6" applyFont="1" applyBorder="1"/>
    <xf numFmtId="164" fontId="14" fillId="0" borderId="40" xfId="5" applyFont="1" applyBorder="1"/>
    <xf numFmtId="0" fontId="43" fillId="0" borderId="0" xfId="6" applyFont="1"/>
    <xf numFmtId="0" fontId="14" fillId="6" borderId="0" xfId="6" applyFont="1" applyFill="1" applyAlignment="1">
      <alignment vertical="center"/>
    </xf>
    <xf numFmtId="0" fontId="15" fillId="6" borderId="0" xfId="2" applyFont="1" applyFill="1" applyAlignment="1">
      <alignment horizontal="left" vertical="center"/>
    </xf>
    <xf numFmtId="164" fontId="15" fillId="6" borderId="0" xfId="5" applyFont="1" applyFill="1" applyBorder="1" applyAlignment="1">
      <alignment horizontal="left" vertical="center"/>
    </xf>
    <xf numFmtId="0" fontId="14" fillId="6" borderId="25" xfId="2" applyFont="1" applyFill="1" applyBorder="1" applyAlignment="1">
      <alignment horizontal="left" vertical="center"/>
    </xf>
    <xf numFmtId="164" fontId="14" fillId="6" borderId="25" xfId="5" applyFont="1" applyFill="1" applyBorder="1" applyAlignment="1">
      <alignment horizontal="left" vertical="center"/>
    </xf>
    <xf numFmtId="0" fontId="15" fillId="6" borderId="25" xfId="2" applyFont="1" applyFill="1" applyBorder="1" applyAlignment="1">
      <alignment horizontal="left" vertical="center"/>
    </xf>
    <xf numFmtId="164" fontId="15" fillId="6" borderId="25" xfId="5" applyFont="1" applyFill="1" applyBorder="1" applyAlignment="1">
      <alignment horizontal="left" vertical="center"/>
    </xf>
    <xf numFmtId="0" fontId="15" fillId="6" borderId="25" xfId="6" applyFont="1" applyFill="1" applyBorder="1"/>
    <xf numFmtId="0" fontId="15" fillId="6" borderId="41" xfId="2" applyFont="1" applyFill="1" applyBorder="1" applyAlignment="1">
      <alignment horizontal="left" vertical="center"/>
    </xf>
    <xf numFmtId="164" fontId="15" fillId="6" borderId="41" xfId="5" applyFont="1" applyFill="1" applyBorder="1" applyAlignment="1">
      <alignment horizontal="left" vertical="center"/>
    </xf>
    <xf numFmtId="43" fontId="43" fillId="0" borderId="0" xfId="6" applyNumberFormat="1" applyFont="1"/>
    <xf numFmtId="165" fontId="43" fillId="0" borderId="0" xfId="6" applyNumberFormat="1" applyFont="1"/>
    <xf numFmtId="0" fontId="14" fillId="0" borderId="43" xfId="6" applyFont="1" applyBorder="1"/>
    <xf numFmtId="164" fontId="14" fillId="0" borderId="0" xfId="5" applyFont="1" applyBorder="1"/>
    <xf numFmtId="0" fontId="14" fillId="0" borderId="0" xfId="6" applyFont="1"/>
    <xf numFmtId="0" fontId="14" fillId="0" borderId="39" xfId="6" applyFont="1" applyBorder="1"/>
    <xf numFmtId="0" fontId="47" fillId="0" borderId="0" xfId="2" applyFont="1" applyAlignment="1">
      <alignment horizontal="left" vertical="center"/>
    </xf>
    <xf numFmtId="0" fontId="48" fillId="0" borderId="0" xfId="2" applyFont="1" applyAlignment="1">
      <alignment horizontal="left" vertical="center"/>
    </xf>
    <xf numFmtId="0" fontId="49" fillId="3" borderId="44" xfId="2" applyFont="1" applyFill="1" applyBorder="1" applyAlignment="1">
      <alignment horizontal="left" vertical="center"/>
    </xf>
    <xf numFmtId="0" fontId="6" fillId="10" borderId="0" xfId="2" applyFont="1" applyFill="1" applyAlignment="1">
      <alignment horizontal="left" vertical="center"/>
    </xf>
    <xf numFmtId="0" fontId="50" fillId="0" borderId="44" xfId="2" applyFont="1" applyBorder="1" applyAlignment="1">
      <alignment horizontal="left" vertical="center"/>
    </xf>
    <xf numFmtId="0" fontId="51" fillId="0" borderId="0" xfId="2" applyFont="1" applyAlignment="1">
      <alignment horizontal="left" vertical="center"/>
    </xf>
    <xf numFmtId="0" fontId="52" fillId="0" borderId="0" xfId="2" applyFont="1" applyAlignment="1">
      <alignment horizontal="left" vertical="center"/>
    </xf>
    <xf numFmtId="0" fontId="7" fillId="0" borderId="0" xfId="2" applyFont="1" applyAlignment="1">
      <alignment vertical="center"/>
    </xf>
    <xf numFmtId="0" fontId="53" fillId="0" borderId="0" xfId="2" applyFont="1" applyAlignment="1">
      <alignment vertical="center"/>
    </xf>
    <xf numFmtId="0" fontId="7" fillId="6" borderId="0" xfId="2" applyFont="1" applyFill="1" applyAlignment="1">
      <alignment horizontal="left" vertical="center"/>
    </xf>
    <xf numFmtId="0" fontId="6" fillId="6" borderId="0" xfId="2" applyFont="1" applyFill="1" applyAlignment="1">
      <alignment horizontal="left" vertical="center"/>
    </xf>
    <xf numFmtId="0" fontId="6" fillId="6" borderId="0" xfId="2" applyFont="1" applyFill="1" applyAlignment="1">
      <alignment vertical="center"/>
    </xf>
    <xf numFmtId="0" fontId="29" fillId="6" borderId="0" xfId="2" applyFont="1" applyFill="1" applyAlignment="1">
      <alignment vertical="center"/>
    </xf>
    <xf numFmtId="0" fontId="10" fillId="6" borderId="0" xfId="2" applyFont="1" applyFill="1" applyAlignment="1">
      <alignment vertical="center"/>
    </xf>
    <xf numFmtId="0" fontId="57" fillId="0" borderId="0" xfId="6" applyFont="1"/>
    <xf numFmtId="0" fontId="10" fillId="10" borderId="0" xfId="2" applyFont="1" applyFill="1" applyAlignment="1">
      <alignment vertical="center"/>
    </xf>
    <xf numFmtId="0" fontId="22" fillId="10" borderId="0" xfId="4" applyFont="1" applyFill="1" applyBorder="1" applyAlignment="1"/>
    <xf numFmtId="0" fontId="50" fillId="2" borderId="44" xfId="2" applyFont="1" applyFill="1" applyBorder="1" applyAlignment="1">
      <alignment horizontal="left" vertical="center" wrapText="1"/>
    </xf>
    <xf numFmtId="0" fontId="49" fillId="10" borderId="0" xfId="2" applyFont="1" applyFill="1" applyAlignment="1">
      <alignment horizontal="left" vertical="center"/>
    </xf>
    <xf numFmtId="0" fontId="22" fillId="6" borderId="0" xfId="3" applyFont="1" applyFill="1" applyBorder="1" applyAlignment="1"/>
    <xf numFmtId="0" fontId="22" fillId="0" borderId="0" xfId="3" applyFont="1" applyFill="1" applyBorder="1" applyAlignment="1"/>
    <xf numFmtId="0" fontId="20" fillId="6" borderId="57" xfId="2" applyFont="1" applyFill="1" applyBorder="1" applyAlignment="1">
      <alignment vertical="center" wrapText="1"/>
    </xf>
    <xf numFmtId="0" fontId="15" fillId="0" borderId="0" xfId="2" applyFont="1" applyAlignment="1">
      <alignment vertical="center" wrapText="1"/>
    </xf>
    <xf numFmtId="0" fontId="20" fillId="6" borderId="24" xfId="2" applyFont="1" applyFill="1" applyBorder="1" applyAlignment="1">
      <alignment vertical="center" wrapText="1"/>
    </xf>
    <xf numFmtId="0" fontId="15" fillId="6" borderId="25" xfId="2" applyFont="1" applyFill="1" applyBorder="1" applyAlignment="1">
      <alignment vertical="center" wrapText="1"/>
    </xf>
    <xf numFmtId="0" fontId="15" fillId="6" borderId="58" xfId="2" applyFont="1" applyFill="1" applyBorder="1" applyAlignment="1">
      <alignment vertical="center" wrapText="1"/>
    </xf>
    <xf numFmtId="0" fontId="15" fillId="6" borderId="59" xfId="2" applyFont="1" applyFill="1" applyBorder="1" applyAlignment="1">
      <alignment vertical="center" wrapText="1"/>
    </xf>
    <xf numFmtId="0" fontId="15" fillId="6" borderId="0" xfId="2" applyFont="1" applyFill="1" applyAlignment="1">
      <alignment vertical="center" wrapText="1"/>
    </xf>
    <xf numFmtId="0" fontId="17" fillId="6" borderId="59" xfId="2" applyFont="1" applyFill="1" applyBorder="1" applyAlignment="1">
      <alignment vertical="center" wrapText="1"/>
    </xf>
    <xf numFmtId="0" fontId="17" fillId="6" borderId="60" xfId="2" applyFont="1" applyFill="1" applyBorder="1" applyAlignment="1">
      <alignment vertical="center" wrapText="1"/>
    </xf>
    <xf numFmtId="0" fontId="17" fillId="6" borderId="26" xfId="2" applyFont="1" applyFill="1" applyBorder="1" applyAlignment="1">
      <alignment vertical="center" wrapText="1"/>
    </xf>
    <xf numFmtId="0" fontId="15" fillId="6" borderId="27" xfId="2" applyFont="1" applyFill="1" applyBorder="1" applyAlignment="1">
      <alignment vertical="center" wrapText="1"/>
    </xf>
    <xf numFmtId="0" fontId="15" fillId="0" borderId="36" xfId="2" applyFont="1" applyBorder="1" applyAlignment="1">
      <alignment horizontal="left" vertical="center"/>
    </xf>
    <xf numFmtId="0" fontId="7" fillId="0" borderId="36" xfId="2" applyFont="1" applyBorder="1" applyAlignment="1">
      <alignment vertical="center"/>
    </xf>
    <xf numFmtId="0" fontId="6" fillId="0" borderId="0" xfId="6" applyFont="1" applyAlignment="1">
      <alignment wrapText="1"/>
    </xf>
    <xf numFmtId="0" fontId="59" fillId="0" borderId="0" xfId="2" applyFont="1" applyAlignment="1">
      <alignment horizontal="left" vertical="center"/>
    </xf>
    <xf numFmtId="0" fontId="10" fillId="0" borderId="8" xfId="2" applyFont="1" applyBorder="1" applyAlignment="1">
      <alignment horizontal="left" vertical="center"/>
    </xf>
    <xf numFmtId="0" fontId="6" fillId="0" borderId="8" xfId="0" applyFont="1" applyBorder="1" applyAlignment="1">
      <alignment horizontal="left" vertical="center"/>
    </xf>
    <xf numFmtId="0" fontId="6" fillId="0" borderId="8" xfId="0" applyFont="1" applyBorder="1" applyAlignment="1">
      <alignment horizontal="left" vertical="center" wrapText="1"/>
    </xf>
    <xf numFmtId="0" fontId="15" fillId="0" borderId="8" xfId="0" applyFont="1" applyBorder="1" applyAlignment="1">
      <alignment horizontal="left" vertical="center"/>
    </xf>
    <xf numFmtId="0" fontId="60" fillId="0" borderId="0" xfId="0" applyFont="1"/>
    <xf numFmtId="0" fontId="47" fillId="0" borderId="0" xfId="0" applyFont="1"/>
    <xf numFmtId="0" fontId="47" fillId="0" borderId="9" xfId="0" applyFont="1" applyBorder="1"/>
    <xf numFmtId="0" fontId="47" fillId="0" borderId="10" xfId="0" applyFont="1" applyBorder="1"/>
    <xf numFmtId="0" fontId="47" fillId="0" borderId="8" xfId="0" applyFont="1" applyBorder="1"/>
    <xf numFmtId="0" fontId="42" fillId="0" borderId="9" xfId="0" applyFont="1" applyBorder="1"/>
    <xf numFmtId="0" fontId="42" fillId="0" borderId="0" xfId="0" applyFont="1"/>
    <xf numFmtId="0" fontId="47" fillId="0" borderId="7" xfId="0" applyFont="1" applyBorder="1"/>
    <xf numFmtId="0" fontId="42" fillId="0" borderId="7" xfId="0" applyFont="1" applyBorder="1" applyAlignment="1">
      <alignment horizontal="left" vertical="center" wrapText="1"/>
    </xf>
    <xf numFmtId="0" fontId="42" fillId="0" borderId="7" xfId="0" applyFont="1" applyBorder="1"/>
    <xf numFmtId="0" fontId="47" fillId="0" borderId="15" xfId="0" applyFont="1" applyBorder="1"/>
    <xf numFmtId="0" fontId="47" fillId="0" borderId="10" xfId="0" applyFont="1" applyBorder="1" applyAlignment="1">
      <alignment wrapText="1"/>
    </xf>
    <xf numFmtId="0" fontId="47" fillId="0" borderId="6" xfId="0" applyFont="1" applyBorder="1" applyAlignment="1">
      <alignment vertical="center"/>
    </xf>
    <xf numFmtId="0" fontId="47" fillId="0" borderId="10" xfId="0" applyFont="1" applyBorder="1" applyAlignment="1">
      <alignment vertical="center"/>
    </xf>
    <xf numFmtId="0" fontId="47" fillId="0" borderId="0" xfId="0" applyFont="1" applyAlignment="1">
      <alignment horizontal="left"/>
    </xf>
    <xf numFmtId="0" fontId="47" fillId="0" borderId="10" xfId="0" applyFont="1" applyBorder="1" applyAlignment="1">
      <alignment horizontal="left"/>
    </xf>
    <xf numFmtId="0" fontId="61" fillId="0" borderId="0" xfId="0" applyFont="1"/>
    <xf numFmtId="0" fontId="64" fillId="6" borderId="0" xfId="2" applyFont="1" applyFill="1" applyAlignment="1">
      <alignment vertical="center"/>
    </xf>
    <xf numFmtId="0" fontId="54" fillId="6" borderId="0" xfId="2" applyFont="1" applyFill="1" applyAlignment="1">
      <alignment vertical="center"/>
    </xf>
    <xf numFmtId="0" fontId="47" fillId="6" borderId="0" xfId="2" applyFont="1" applyFill="1" applyAlignment="1">
      <alignment horizontal="left" vertical="center"/>
    </xf>
    <xf numFmtId="0" fontId="54" fillId="6" borderId="0" xfId="2" applyFont="1" applyFill="1" applyAlignment="1">
      <alignment horizontal="left" vertical="center"/>
    </xf>
    <xf numFmtId="0" fontId="55" fillId="6" borderId="0" xfId="2" applyFont="1" applyFill="1" applyAlignment="1">
      <alignment horizontal="left" vertical="center"/>
    </xf>
    <xf numFmtId="0" fontId="65" fillId="6" borderId="0" xfId="2" applyFont="1" applyFill="1" applyAlignment="1">
      <alignment horizontal="left" vertical="center"/>
    </xf>
    <xf numFmtId="0" fontId="63" fillId="6" borderId="0" xfId="2" applyFont="1" applyFill="1" applyAlignment="1">
      <alignment vertical="center"/>
    </xf>
    <xf numFmtId="0" fontId="54" fillId="6" borderId="0" xfId="2" applyFont="1" applyFill="1" applyAlignment="1">
      <alignment vertical="center" wrapText="1"/>
    </xf>
    <xf numFmtId="0" fontId="65" fillId="6" borderId="0" xfId="2" applyFont="1" applyFill="1" applyAlignment="1">
      <alignment vertical="center"/>
    </xf>
    <xf numFmtId="0" fontId="55" fillId="6" borderId="0" xfId="2" applyFont="1" applyFill="1" applyAlignment="1">
      <alignment vertical="center"/>
    </xf>
    <xf numFmtId="0" fontId="66" fillId="0" borderId="0" xfId="2" applyFont="1" applyAlignment="1">
      <alignment horizontal="left" vertical="center"/>
    </xf>
    <xf numFmtId="0" fontId="6" fillId="12" borderId="0" xfId="2" applyFont="1" applyFill="1" applyAlignment="1">
      <alignment horizontal="left" vertical="center"/>
    </xf>
    <xf numFmtId="0" fontId="15" fillId="6" borderId="60" xfId="2" applyFont="1" applyFill="1" applyBorder="1" applyAlignment="1">
      <alignment vertical="center" wrapText="1"/>
    </xf>
    <xf numFmtId="0" fontId="52" fillId="0" borderId="8" xfId="0" applyFont="1" applyBorder="1" applyAlignment="1">
      <alignment vertical="center" wrapText="1"/>
    </xf>
    <xf numFmtId="0" fontId="10" fillId="0" borderId="8" xfId="2" applyFont="1" applyBorder="1" applyAlignment="1">
      <alignment vertical="center" wrapText="1"/>
    </xf>
    <xf numFmtId="0" fontId="7" fillId="0" borderId="10" xfId="2" applyFont="1" applyBorder="1" applyAlignment="1">
      <alignment vertical="center" wrapText="1"/>
    </xf>
    <xf numFmtId="0" fontId="47" fillId="0" borderId="27" xfId="0" applyFont="1" applyBorder="1"/>
    <xf numFmtId="0" fontId="7" fillId="3" borderId="10" xfId="2" applyFont="1" applyFill="1" applyBorder="1" applyAlignment="1">
      <alignment horizontal="center" vertical="center" wrapText="1"/>
    </xf>
    <xf numFmtId="0" fontId="6" fillId="0" borderId="10" xfId="2" applyFont="1" applyBorder="1" applyAlignment="1">
      <alignment vertical="center"/>
    </xf>
    <xf numFmtId="0" fontId="16" fillId="0" borderId="0" xfId="2" applyFont="1" applyAlignment="1">
      <alignment horizontal="left" vertical="center" wrapText="1"/>
    </xf>
    <xf numFmtId="0" fontId="54" fillId="6" borderId="0" xfId="2" applyFont="1" applyFill="1" applyAlignment="1">
      <alignment horizontal="left" vertical="center" wrapText="1" indent="2"/>
    </xf>
    <xf numFmtId="0" fontId="16" fillId="0" borderId="0" xfId="2" applyFont="1" applyAlignment="1">
      <alignment horizontal="left" vertical="center"/>
    </xf>
    <xf numFmtId="0" fontId="10" fillId="6" borderId="0" xfId="2" applyFont="1" applyFill="1" applyAlignment="1">
      <alignment horizontal="left" vertical="center"/>
    </xf>
    <xf numFmtId="0" fontId="16" fillId="0" borderId="36" xfId="2" applyFont="1" applyBorder="1" applyAlignment="1">
      <alignment horizontal="left" vertical="center"/>
    </xf>
    <xf numFmtId="0" fontId="14" fillId="0" borderId="7" xfId="2" applyFont="1" applyBorder="1" applyAlignment="1">
      <alignment horizontal="left" vertical="center" wrapText="1"/>
    </xf>
    <xf numFmtId="0" fontId="23" fillId="6" borderId="0" xfId="4" applyFont="1" applyFill="1" applyBorder="1" applyAlignment="1">
      <alignment horizontal="center" vertical="center"/>
    </xf>
    <xf numFmtId="0" fontId="24" fillId="6" borderId="0" xfId="2" applyFont="1" applyFill="1" applyAlignment="1">
      <alignment vertical="center"/>
    </xf>
    <xf numFmtId="0" fontId="10" fillId="0" borderId="0" xfId="2" applyFont="1" applyAlignment="1">
      <alignment vertical="center"/>
    </xf>
    <xf numFmtId="0" fontId="37" fillId="6" borderId="0" xfId="4" applyFont="1" applyFill="1" applyAlignment="1"/>
    <xf numFmtId="0" fontId="38" fillId="6" borderId="0" xfId="6" applyFont="1" applyFill="1" applyAlignment="1">
      <alignment vertical="center"/>
    </xf>
    <xf numFmtId="0" fontId="39" fillId="3" borderId="0" xfId="4" applyFont="1" applyFill="1" applyBorder="1" applyAlignment="1">
      <alignment horizontal="left" vertical="center" wrapText="1"/>
    </xf>
    <xf numFmtId="0" fontId="15" fillId="6" borderId="0" xfId="2" applyFont="1" applyFill="1" applyAlignment="1">
      <alignment horizontal="left" vertical="center" indent="1"/>
    </xf>
    <xf numFmtId="0" fontId="46" fillId="6" borderId="0" xfId="6" applyFont="1" applyFill="1" applyAlignment="1">
      <alignment vertical="center" wrapText="1"/>
    </xf>
    <xf numFmtId="0" fontId="15" fillId="6" borderId="0" xfId="6" applyFont="1" applyFill="1" applyAlignment="1">
      <alignment horizontal="left" vertical="center" wrapText="1" indent="2"/>
    </xf>
    <xf numFmtId="0" fontId="44" fillId="6" borderId="0" xfId="6" applyFont="1" applyFill="1" applyAlignment="1">
      <alignment vertical="center"/>
    </xf>
    <xf numFmtId="0" fontId="42" fillId="0" borderId="16" xfId="0" applyFont="1" applyBorder="1" applyAlignment="1">
      <alignment horizontal="left" vertical="center" wrapText="1"/>
    </xf>
    <xf numFmtId="0" fontId="67" fillId="0" borderId="8" xfId="2" applyFont="1" applyBorder="1" applyAlignment="1">
      <alignment horizontal="left" vertical="center" indent="3"/>
    </xf>
    <xf numFmtId="0" fontId="56" fillId="0" borderId="0" xfId="0" applyFont="1"/>
    <xf numFmtId="0" fontId="68" fillId="0" borderId="0" xfId="0" applyFont="1"/>
    <xf numFmtId="0" fontId="56" fillId="0" borderId="7" xfId="2" applyFont="1" applyBorder="1" applyAlignment="1">
      <alignment horizontal="left" vertical="center" wrapText="1"/>
    </xf>
    <xf numFmtId="0" fontId="69" fillId="0" borderId="8" xfId="2" applyFont="1" applyBorder="1" applyAlignment="1">
      <alignment horizontal="left" vertical="center" wrapText="1"/>
    </xf>
    <xf numFmtId="0" fontId="70" fillId="0" borderId="8" xfId="2" applyFont="1" applyBorder="1" applyAlignment="1">
      <alignment horizontal="left" vertical="center" wrapText="1"/>
    </xf>
    <xf numFmtId="0" fontId="67" fillId="3" borderId="8" xfId="2" applyFont="1" applyFill="1" applyBorder="1" applyAlignment="1">
      <alignment vertical="center" wrapText="1"/>
    </xf>
    <xf numFmtId="0" fontId="71" fillId="4" borderId="8" xfId="2" applyFont="1" applyFill="1" applyBorder="1" applyAlignment="1">
      <alignment horizontal="left" vertical="center" wrapText="1"/>
    </xf>
    <xf numFmtId="0" fontId="68" fillId="2" borderId="8" xfId="2" applyFont="1" applyFill="1" applyBorder="1" applyAlignment="1">
      <alignment horizontal="left" vertical="center"/>
    </xf>
    <xf numFmtId="0" fontId="68" fillId="5" borderId="8" xfId="2" applyFont="1" applyFill="1" applyBorder="1" applyAlignment="1">
      <alignment horizontal="left" vertical="center"/>
    </xf>
    <xf numFmtId="0" fontId="71" fillId="0" borderId="8" xfId="2" applyFont="1" applyBorder="1" applyAlignment="1">
      <alignment horizontal="left" vertical="center" wrapText="1"/>
    </xf>
    <xf numFmtId="0" fontId="68" fillId="0" borderId="8" xfId="2" applyFont="1" applyBorder="1" applyAlignment="1">
      <alignment horizontal="left" vertical="center"/>
    </xf>
    <xf numFmtId="0" fontId="72" fillId="0" borderId="5" xfId="2" applyFont="1" applyBorder="1" applyAlignment="1">
      <alignment horizontal="left" vertical="center"/>
    </xf>
    <xf numFmtId="0" fontId="71" fillId="0" borderId="6" xfId="2" applyFont="1" applyBorder="1" applyAlignment="1">
      <alignment horizontal="left" vertical="center"/>
    </xf>
    <xf numFmtId="0" fontId="70" fillId="0" borderId="6" xfId="2" applyFont="1" applyBorder="1" applyAlignment="1">
      <alignment horizontal="left" vertical="center"/>
    </xf>
    <xf numFmtId="0" fontId="71" fillId="0" borderId="6" xfId="2" applyFont="1" applyBorder="1" applyAlignment="1">
      <alignment horizontal="left" vertical="center" wrapText="1"/>
    </xf>
    <xf numFmtId="0" fontId="70" fillId="0" borderId="6" xfId="2" applyFont="1" applyBorder="1" applyAlignment="1">
      <alignment horizontal="left" vertical="center" wrapText="1"/>
    </xf>
    <xf numFmtId="0" fontId="72" fillId="0" borderId="6" xfId="2" applyFont="1" applyBorder="1" applyAlignment="1">
      <alignment horizontal="left" vertical="center" wrapText="1"/>
    </xf>
    <xf numFmtId="0" fontId="72" fillId="0" borderId="7" xfId="2" applyFont="1" applyBorder="1" applyAlignment="1">
      <alignment horizontal="left" vertical="center"/>
    </xf>
    <xf numFmtId="0" fontId="71" fillId="0" borderId="8" xfId="2" applyFont="1" applyBorder="1" applyAlignment="1">
      <alignment horizontal="left" vertical="center"/>
    </xf>
    <xf numFmtId="0" fontId="70" fillId="0" borderId="8" xfId="2" applyFont="1" applyBorder="1" applyAlignment="1">
      <alignment horizontal="left" vertical="center"/>
    </xf>
    <xf numFmtId="0" fontId="72" fillId="0" borderId="8" xfId="2" applyFont="1" applyBorder="1" applyAlignment="1">
      <alignment horizontal="left" vertical="center"/>
    </xf>
    <xf numFmtId="0" fontId="67" fillId="0" borderId="8" xfId="2" applyFont="1" applyBorder="1" applyAlignment="1">
      <alignment horizontal="left" vertical="center" indent="1"/>
    </xf>
    <xf numFmtId="0" fontId="67" fillId="0" borderId="8" xfId="2" applyFont="1" applyBorder="1" applyAlignment="1">
      <alignment vertical="center" wrapText="1"/>
    </xf>
    <xf numFmtId="0" fontId="68" fillId="0" borderId="8" xfId="2" applyFont="1" applyBorder="1" applyAlignment="1">
      <alignment vertical="center"/>
    </xf>
    <xf numFmtId="0" fontId="73" fillId="3" borderId="8" xfId="1" applyFont="1" applyFill="1" applyBorder="1" applyAlignment="1">
      <alignment horizontal="center" vertical="center" wrapText="1"/>
    </xf>
    <xf numFmtId="0" fontId="68" fillId="0" borderId="8" xfId="2" applyFont="1" applyBorder="1" applyAlignment="1">
      <alignment horizontal="center" vertical="center"/>
    </xf>
    <xf numFmtId="0" fontId="67" fillId="3" borderId="8" xfId="2" applyFont="1" applyFill="1" applyBorder="1" applyAlignment="1">
      <alignment horizontal="center" vertical="center" wrapText="1"/>
    </xf>
    <xf numFmtId="0" fontId="68" fillId="0" borderId="8" xfId="0" applyFont="1" applyBorder="1"/>
    <xf numFmtId="0" fontId="56" fillId="0" borderId="7" xfId="0" applyFont="1" applyBorder="1"/>
    <xf numFmtId="0" fontId="56" fillId="0" borderId="9" xfId="0" applyFont="1" applyBorder="1"/>
    <xf numFmtId="0" fontId="68" fillId="0" borderId="10" xfId="0" applyFont="1" applyBorder="1"/>
    <xf numFmtId="0" fontId="68" fillId="0" borderId="0" xfId="2" applyFont="1" applyAlignment="1">
      <alignment horizontal="left" vertical="center"/>
    </xf>
    <xf numFmtId="0" fontId="85" fillId="0" borderId="0" xfId="2" applyFont="1" applyAlignment="1">
      <alignment horizontal="left" vertical="center"/>
    </xf>
    <xf numFmtId="0" fontId="85" fillId="3" borderId="44" xfId="2" applyFont="1" applyFill="1" applyBorder="1" applyAlignment="1">
      <alignment horizontal="left" vertical="center"/>
    </xf>
    <xf numFmtId="0" fontId="68" fillId="10" borderId="0" xfId="2" applyFont="1" applyFill="1" applyAlignment="1">
      <alignment horizontal="left" vertical="center"/>
    </xf>
    <xf numFmtId="0" fontId="86" fillId="2" borderId="44" xfId="2" applyFont="1" applyFill="1" applyBorder="1" applyAlignment="1">
      <alignment horizontal="left" vertical="center"/>
    </xf>
    <xf numFmtId="0" fontId="86" fillId="0" borderId="44" xfId="2" applyFont="1" applyBorder="1" applyAlignment="1">
      <alignment horizontal="left" vertical="center"/>
    </xf>
    <xf numFmtId="0" fontId="68" fillId="0" borderId="0" xfId="2" quotePrefix="1" applyFont="1" applyAlignment="1">
      <alignment horizontal="left" vertical="center"/>
    </xf>
    <xf numFmtId="0" fontId="69" fillId="0" borderId="0" xfId="2" applyFont="1" applyAlignment="1" applyProtection="1">
      <alignment vertical="center"/>
      <protection locked="0"/>
    </xf>
    <xf numFmtId="0" fontId="68" fillId="0" borderId="0" xfId="2" applyFont="1" applyAlignment="1">
      <alignment vertical="center"/>
    </xf>
    <xf numFmtId="0" fontId="70" fillId="0" borderId="0" xfId="2" applyFont="1" applyAlignment="1">
      <alignment horizontal="left" vertical="center"/>
    </xf>
    <xf numFmtId="0" fontId="71" fillId="0" borderId="30" xfId="2" applyFont="1" applyBorder="1" applyAlignment="1" applyProtection="1">
      <alignment horizontal="left" vertical="center"/>
      <protection locked="0"/>
    </xf>
    <xf numFmtId="0" fontId="70" fillId="0" borderId="30" xfId="2" applyFont="1" applyBorder="1" applyAlignment="1">
      <alignment horizontal="left" vertical="center"/>
    </xf>
    <xf numFmtId="0" fontId="71" fillId="0" borderId="30" xfId="2" applyFont="1" applyBorder="1" applyAlignment="1">
      <alignment horizontal="left" vertical="center"/>
    </xf>
    <xf numFmtId="0" fontId="72" fillId="0" borderId="30" xfId="2" applyFont="1" applyBorder="1" applyAlignment="1">
      <alignment horizontal="left" vertical="center"/>
    </xf>
    <xf numFmtId="0" fontId="69" fillId="0" borderId="38" xfId="2" applyFont="1" applyBorder="1" applyAlignment="1">
      <alignment vertical="center"/>
    </xf>
    <xf numFmtId="0" fontId="69" fillId="0" borderId="29" xfId="2" applyFont="1" applyBorder="1" applyAlignment="1" applyProtection="1">
      <alignment vertical="center"/>
      <protection locked="0"/>
    </xf>
    <xf numFmtId="0" fontId="68" fillId="0" borderId="30" xfId="2" applyFont="1" applyBorder="1" applyAlignment="1">
      <alignment horizontal="left" vertical="center"/>
    </xf>
    <xf numFmtId="0" fontId="67" fillId="0" borderId="30" xfId="2" applyFont="1" applyBorder="1" applyAlignment="1">
      <alignment horizontal="left" vertical="center"/>
    </xf>
    <xf numFmtId="0" fontId="77" fillId="0" borderId="0" xfId="2" applyFont="1" applyAlignment="1">
      <alignment horizontal="left" vertical="center"/>
    </xf>
    <xf numFmtId="0" fontId="67" fillId="0" borderId="38" xfId="2" applyFont="1" applyBorder="1" applyAlignment="1" applyProtection="1">
      <alignment horizontal="left" vertical="center" indent="2"/>
      <protection locked="0"/>
    </xf>
    <xf numFmtId="0" fontId="67" fillId="3" borderId="45" xfId="2" applyFont="1" applyFill="1" applyBorder="1" applyAlignment="1">
      <alignment vertical="center"/>
    </xf>
    <xf numFmtId="0" fontId="77" fillId="2" borderId="46" xfId="2" applyFont="1" applyFill="1" applyBorder="1" applyAlignment="1">
      <alignment horizontal="left" vertical="center"/>
    </xf>
    <xf numFmtId="0" fontId="67" fillId="0" borderId="45" xfId="2" applyFont="1" applyBorder="1" applyAlignment="1">
      <alignment vertical="center"/>
    </xf>
    <xf numFmtId="0" fontId="67" fillId="0" borderId="29" xfId="2" applyFont="1" applyBorder="1" applyAlignment="1" applyProtection="1">
      <alignment horizontal="left" vertical="center" indent="2"/>
      <protection locked="0"/>
    </xf>
    <xf numFmtId="0" fontId="77" fillId="0" borderId="30" xfId="2" applyFont="1" applyBorder="1" applyAlignment="1">
      <alignment horizontal="left" vertical="center"/>
    </xf>
    <xf numFmtId="0" fontId="67" fillId="0" borderId="31" xfId="2" applyFont="1" applyBorder="1" applyAlignment="1">
      <alignment vertical="center"/>
    </xf>
    <xf numFmtId="0" fontId="77" fillId="2" borderId="32" xfId="2" applyFont="1" applyFill="1" applyBorder="1" applyAlignment="1">
      <alignment horizontal="left" vertical="center"/>
    </xf>
    <xf numFmtId="166" fontId="67" fillId="3" borderId="45" xfId="2" applyNumberFormat="1" applyFont="1" applyFill="1" applyBorder="1" applyAlignment="1">
      <alignment horizontal="left" vertical="center"/>
    </xf>
    <xf numFmtId="0" fontId="68" fillId="11" borderId="43" xfId="2" applyFont="1" applyFill="1" applyBorder="1" applyAlignment="1">
      <alignment horizontal="left" vertical="center"/>
    </xf>
    <xf numFmtId="0" fontId="67" fillId="0" borderId="38" xfId="2" applyFont="1" applyBorder="1" applyAlignment="1" applyProtection="1">
      <alignment horizontal="left" vertical="center" wrapText="1" indent="2"/>
      <protection locked="0"/>
    </xf>
    <xf numFmtId="0" fontId="67" fillId="3" borderId="0" xfId="2" applyFont="1" applyFill="1" applyAlignment="1">
      <alignment vertical="center"/>
    </xf>
    <xf numFmtId="166" fontId="67" fillId="3" borderId="0" xfId="2" applyNumberFormat="1" applyFont="1" applyFill="1" applyAlignment="1">
      <alignment horizontal="left" vertical="center"/>
    </xf>
    <xf numFmtId="0" fontId="67" fillId="0" borderId="47" xfId="2" applyFont="1" applyBorder="1" applyAlignment="1" applyProtection="1">
      <alignment horizontal="left" vertical="center" wrapText="1" indent="2"/>
      <protection locked="0"/>
    </xf>
    <xf numFmtId="0" fontId="77" fillId="0" borderId="25" xfId="2" applyFont="1" applyBorder="1" applyAlignment="1">
      <alignment horizontal="left" vertical="center"/>
    </xf>
    <xf numFmtId="0" fontId="77" fillId="2" borderId="25" xfId="2" applyFont="1" applyFill="1" applyBorder="1" applyAlignment="1">
      <alignment horizontal="left" vertical="center"/>
    </xf>
    <xf numFmtId="166" fontId="67" fillId="3" borderId="0" xfId="2" applyNumberFormat="1" applyFont="1" applyFill="1" applyAlignment="1">
      <alignment vertical="center"/>
    </xf>
    <xf numFmtId="0" fontId="77" fillId="2" borderId="0" xfId="2" applyFont="1" applyFill="1" applyAlignment="1">
      <alignment horizontal="left" vertical="center"/>
    </xf>
    <xf numFmtId="0" fontId="77" fillId="0" borderId="47" xfId="2" applyFont="1" applyBorder="1" applyAlignment="1">
      <alignment horizontal="left" vertical="center"/>
    </xf>
    <xf numFmtId="0" fontId="77" fillId="2" borderId="48" xfId="2" applyFont="1" applyFill="1" applyBorder="1" applyAlignment="1">
      <alignment horizontal="left" vertical="center"/>
    </xf>
    <xf numFmtId="0" fontId="77" fillId="0" borderId="32" xfId="2" applyFont="1" applyBorder="1" applyAlignment="1">
      <alignment horizontal="left" vertical="center"/>
    </xf>
    <xf numFmtId="0" fontId="87" fillId="3" borderId="30" xfId="3" applyFont="1" applyFill="1" applyBorder="1" applyAlignment="1">
      <alignment vertical="center"/>
    </xf>
    <xf numFmtId="0" fontId="88" fillId="2" borderId="30" xfId="2" applyFont="1" applyFill="1" applyBorder="1" applyAlignment="1">
      <alignment vertical="center"/>
    </xf>
    <xf numFmtId="0" fontId="89" fillId="0" borderId="49" xfId="4" applyFont="1" applyFill="1" applyBorder="1" applyAlignment="1" applyProtection="1">
      <alignment vertical="center"/>
      <protection locked="0"/>
    </xf>
    <xf numFmtId="0" fontId="68" fillId="0" borderId="50" xfId="2" applyFont="1" applyBorder="1" applyAlignment="1">
      <alignment horizontal="left" vertical="center"/>
    </xf>
    <xf numFmtId="0" fontId="67" fillId="0" borderId="0" xfId="2" applyFont="1" applyAlignment="1">
      <alignment vertical="center"/>
    </xf>
    <xf numFmtId="0" fontId="68" fillId="0" borderId="43" xfId="2" applyFont="1" applyBorder="1" applyAlignment="1">
      <alignment horizontal="left" vertical="center"/>
    </xf>
    <xf numFmtId="0" fontId="88" fillId="0" borderId="0" xfId="2" applyFont="1" applyAlignment="1">
      <alignment vertical="center"/>
    </xf>
    <xf numFmtId="0" fontId="69" fillId="0" borderId="0" xfId="2" applyFont="1" applyAlignment="1">
      <alignment vertical="center"/>
    </xf>
    <xf numFmtId="0" fontId="67" fillId="0" borderId="0" xfId="2" applyFont="1" applyAlignment="1">
      <alignment horizontal="left" vertical="center" indent="1"/>
    </xf>
    <xf numFmtId="0" fontId="67" fillId="3" borderId="37" xfId="2" applyFont="1" applyFill="1" applyBorder="1" applyAlignment="1">
      <alignment vertical="center" wrapText="1"/>
    </xf>
    <xf numFmtId="0" fontId="67" fillId="0" borderId="30" xfId="2" applyFont="1" applyBorder="1" applyAlignment="1">
      <alignment horizontal="left" vertical="center" indent="1"/>
    </xf>
    <xf numFmtId="0" fontId="88" fillId="2" borderId="0" xfId="2" applyFont="1" applyFill="1" applyAlignment="1">
      <alignment vertical="center"/>
    </xf>
    <xf numFmtId="0" fontId="74" fillId="0" borderId="38" xfId="2" applyFont="1" applyBorder="1" applyAlignment="1" applyProtection="1">
      <alignment horizontal="left" vertical="center" indent="2"/>
      <protection locked="0"/>
    </xf>
    <xf numFmtId="0" fontId="67" fillId="0" borderId="38" xfId="2" applyFont="1" applyBorder="1" applyAlignment="1" applyProtection="1">
      <alignment horizontal="left" vertical="center" indent="4"/>
      <protection locked="0"/>
    </xf>
    <xf numFmtId="0" fontId="67" fillId="0" borderId="38" xfId="2" applyFont="1" applyBorder="1" applyAlignment="1" applyProtection="1">
      <alignment horizontal="left" vertical="center" indent="6"/>
      <protection locked="0"/>
    </xf>
    <xf numFmtId="0" fontId="77" fillId="0" borderId="51" xfId="2" applyFont="1" applyBorder="1" applyAlignment="1">
      <alignment horizontal="left" vertical="center"/>
    </xf>
    <xf numFmtId="0" fontId="77" fillId="2" borderId="27" xfId="2" applyFont="1" applyFill="1" applyBorder="1" applyAlignment="1">
      <alignment horizontal="left" vertical="center"/>
    </xf>
    <xf numFmtId="0" fontId="80" fillId="0" borderId="25" xfId="4" applyFont="1" applyFill="1" applyBorder="1" applyAlignment="1" applyProtection="1">
      <alignment horizontal="left" vertical="center" indent="2"/>
      <protection locked="0"/>
    </xf>
    <xf numFmtId="0" fontId="67" fillId="3" borderId="25" xfId="2" applyFont="1" applyFill="1" applyBorder="1" applyAlignment="1">
      <alignment vertical="center"/>
    </xf>
    <xf numFmtId="0" fontId="67" fillId="0" borderId="0" xfId="2" applyFont="1" applyAlignment="1" applyProtection="1">
      <alignment horizontal="left" vertical="center" indent="4"/>
      <protection locked="0"/>
    </xf>
    <xf numFmtId="0" fontId="67" fillId="0" borderId="30" xfId="2" applyFont="1" applyBorder="1" applyAlignment="1" applyProtection="1">
      <alignment horizontal="left" vertical="center" indent="4"/>
      <protection locked="0"/>
    </xf>
    <xf numFmtId="0" fontId="77" fillId="2" borderId="30" xfId="2" applyFont="1" applyFill="1" applyBorder="1" applyAlignment="1">
      <alignment horizontal="left" vertical="center"/>
    </xf>
    <xf numFmtId="0" fontId="89" fillId="0" borderId="29" xfId="4" applyFont="1" applyFill="1" applyBorder="1" applyAlignment="1" applyProtection="1">
      <alignment horizontal="left" vertical="center" wrapText="1"/>
      <protection locked="0"/>
    </xf>
    <xf numFmtId="0" fontId="67" fillId="0" borderId="30" xfId="2" applyFont="1" applyBorder="1" applyAlignment="1">
      <alignment vertical="center"/>
    </xf>
    <xf numFmtId="0" fontId="67" fillId="0" borderId="29" xfId="2" applyFont="1" applyBorder="1" applyAlignment="1" applyProtection="1">
      <alignment horizontal="left" vertical="center" indent="4"/>
      <protection locked="0"/>
    </xf>
    <xf numFmtId="0" fontId="69" fillId="0" borderId="50" xfId="2" applyFont="1" applyBorder="1" applyAlignment="1" applyProtection="1">
      <alignment vertical="center"/>
      <protection locked="0"/>
    </xf>
    <xf numFmtId="0" fontId="76" fillId="0" borderId="43" xfId="2" applyFont="1" applyBorder="1" applyAlignment="1">
      <alignment horizontal="left" vertical="center"/>
    </xf>
    <xf numFmtId="0" fontId="90" fillId="0" borderId="43" xfId="2" applyFont="1" applyBorder="1" applyAlignment="1">
      <alignment vertical="center"/>
    </xf>
    <xf numFmtId="0" fontId="67" fillId="0" borderId="29" xfId="2" applyFont="1" applyBorder="1" applyAlignment="1" applyProtection="1">
      <alignment vertical="center"/>
      <protection locked="0"/>
    </xf>
    <xf numFmtId="0" fontId="74" fillId="0" borderId="0" xfId="2" applyFont="1" applyAlignment="1">
      <alignment vertical="center"/>
    </xf>
    <xf numFmtId="0" fontId="2" fillId="3" borderId="45" xfId="1" applyFill="1" applyBorder="1" applyAlignment="1">
      <alignment vertical="center"/>
    </xf>
    <xf numFmtId="0" fontId="73" fillId="3" borderId="27" xfId="1" applyFont="1" applyFill="1" applyBorder="1" applyAlignment="1">
      <alignment vertical="center" wrapText="1"/>
    </xf>
    <xf numFmtId="0" fontId="73" fillId="2" borderId="37" xfId="1" applyFont="1" applyFill="1" applyBorder="1" applyAlignment="1">
      <alignment vertical="center"/>
    </xf>
    <xf numFmtId="0" fontId="68" fillId="0" borderId="0" xfId="0" applyFont="1" applyAlignment="1">
      <alignment horizontal="left"/>
    </xf>
    <xf numFmtId="0" fontId="72" fillId="0" borderId="5" xfId="2" applyFont="1" applyBorder="1" applyAlignment="1">
      <alignment horizontal="left" vertical="center" wrapText="1"/>
    </xf>
    <xf numFmtId="0" fontId="67" fillId="0" borderId="8" xfId="2" applyFont="1" applyBorder="1" applyAlignment="1">
      <alignment vertical="center"/>
    </xf>
    <xf numFmtId="0" fontId="77" fillId="0" borderId="8" xfId="0" applyFont="1" applyBorder="1" applyAlignment="1">
      <alignment vertical="center"/>
    </xf>
    <xf numFmtId="0" fontId="77" fillId="0" borderId="8" xfId="0" applyFont="1" applyBorder="1" applyAlignment="1">
      <alignment vertical="center" wrapText="1"/>
    </xf>
    <xf numFmtId="0" fontId="68" fillId="0" borderId="8" xfId="0" applyFont="1" applyBorder="1" applyAlignment="1">
      <alignment vertical="center"/>
    </xf>
    <xf numFmtId="0" fontId="56" fillId="0" borderId="7" xfId="0" applyFont="1" applyBorder="1" applyAlignment="1">
      <alignment vertical="center"/>
    </xf>
    <xf numFmtId="0" fontId="68" fillId="2" borderId="8" xfId="2" applyFont="1" applyFill="1" applyBorder="1" applyAlignment="1">
      <alignment vertical="center"/>
    </xf>
    <xf numFmtId="0" fontId="68" fillId="0" borderId="10" xfId="0" applyFont="1" applyBorder="1" applyAlignment="1">
      <alignment horizontal="left"/>
    </xf>
    <xf numFmtId="0" fontId="70" fillId="0" borderId="7" xfId="2" applyFont="1" applyBorder="1" applyAlignment="1">
      <alignment horizontal="left" vertical="center"/>
    </xf>
    <xf numFmtId="0" fontId="70" fillId="0" borderId="5" xfId="2" applyFont="1" applyBorder="1" applyAlignment="1">
      <alignment horizontal="left" vertical="center"/>
    </xf>
    <xf numFmtId="0" fontId="71" fillId="0" borderId="6" xfId="2" applyFont="1" applyBorder="1" applyAlignment="1">
      <alignment vertical="center"/>
    </xf>
    <xf numFmtId="0" fontId="68" fillId="0" borderId="7" xfId="0" applyFont="1" applyBorder="1"/>
    <xf numFmtId="0" fontId="68" fillId="0" borderId="9" xfId="0" applyFont="1" applyBorder="1"/>
    <xf numFmtId="14" fontId="6" fillId="3" borderId="0" xfId="2" applyNumberFormat="1" applyFont="1" applyFill="1" applyAlignment="1">
      <alignment horizontal="right" vertical="center"/>
    </xf>
    <xf numFmtId="167" fontId="67" fillId="3" borderId="0" xfId="5" applyNumberFormat="1" applyFont="1" applyFill="1" applyBorder="1" applyAlignment="1">
      <alignment horizontal="left" vertical="center"/>
    </xf>
    <xf numFmtId="0" fontId="56" fillId="0" borderId="7" xfId="0" applyFont="1" applyBorder="1" applyAlignment="1">
      <alignment wrapText="1"/>
    </xf>
    <xf numFmtId="0" fontId="68" fillId="0" borderId="18" xfId="0" applyFont="1" applyBorder="1" applyAlignment="1">
      <alignment horizontal="left" vertical="center"/>
    </xf>
    <xf numFmtId="0" fontId="2" fillId="3" borderId="8" xfId="1" applyFill="1" applyBorder="1" applyAlignment="1">
      <alignment horizontal="center" vertical="center" wrapText="1"/>
    </xf>
    <xf numFmtId="0" fontId="91" fillId="3" borderId="8" xfId="1" applyFont="1" applyFill="1" applyBorder="1" applyAlignment="1">
      <alignment horizontal="center" vertical="center" wrapText="1"/>
    </xf>
    <xf numFmtId="0" fontId="47" fillId="0" borderId="8" xfId="0" applyFont="1" applyBorder="1" applyAlignment="1">
      <alignment horizontal="left" vertical="center" wrapText="1"/>
    </xf>
    <xf numFmtId="0" fontId="7" fillId="3" borderId="8" xfId="2" applyFont="1" applyFill="1" applyBorder="1" applyAlignment="1">
      <alignment horizontal="left" vertical="center" wrapText="1"/>
    </xf>
    <xf numFmtId="0" fontId="2" fillId="3" borderId="8" xfId="1" applyFill="1" applyBorder="1" applyAlignment="1">
      <alignment horizontal="left" vertical="center" wrapText="1"/>
    </xf>
    <xf numFmtId="0" fontId="6" fillId="0" borderId="3" xfId="2" applyFont="1" applyBorder="1" applyAlignment="1">
      <alignment horizontal="left" vertical="center"/>
    </xf>
    <xf numFmtId="3" fontId="7" fillId="3" borderId="8" xfId="2" applyNumberFormat="1" applyFont="1" applyFill="1" applyBorder="1" applyAlignment="1">
      <alignment horizontal="left" vertical="center" wrapText="1"/>
    </xf>
    <xf numFmtId="169" fontId="7" fillId="3" borderId="8" xfId="2" applyNumberFormat="1" applyFont="1" applyFill="1" applyBorder="1" applyAlignment="1">
      <alignment horizontal="left" vertical="center" wrapText="1"/>
    </xf>
    <xf numFmtId="169" fontId="7" fillId="3" borderId="10" xfId="2" applyNumberFormat="1" applyFont="1" applyFill="1" applyBorder="1" applyAlignment="1">
      <alignment horizontal="left" vertical="center" wrapText="1"/>
    </xf>
    <xf numFmtId="0" fontId="73" fillId="3" borderId="8" xfId="1" applyFont="1" applyFill="1" applyBorder="1" applyAlignment="1">
      <alignment horizontal="center" vertical="center"/>
    </xf>
    <xf numFmtId="0" fontId="6" fillId="0" borderId="0" xfId="6" applyFont="1" applyAlignment="1">
      <alignment horizontal="left"/>
    </xf>
    <xf numFmtId="0" fontId="6" fillId="0" borderId="0" xfId="6" applyFont="1" applyAlignment="1">
      <alignment horizontal="left" vertical="center"/>
    </xf>
    <xf numFmtId="165" fontId="2" fillId="0" borderId="0" xfId="1" applyNumberFormat="1" applyFill="1" applyAlignment="1">
      <alignment horizontal="left" vertical="center"/>
    </xf>
    <xf numFmtId="0" fontId="23" fillId="6" borderId="33" xfId="4" applyFont="1" applyFill="1" applyBorder="1" applyAlignment="1">
      <alignment horizontal="center" vertical="center"/>
    </xf>
    <xf numFmtId="0" fontId="23" fillId="6" borderId="34" xfId="4" applyFont="1" applyFill="1" applyBorder="1" applyAlignment="1">
      <alignment horizontal="center" vertical="center"/>
    </xf>
    <xf numFmtId="0" fontId="23" fillId="6" borderId="35" xfId="4" applyFont="1" applyFill="1" applyBorder="1" applyAlignment="1">
      <alignment horizontal="center" vertical="center"/>
    </xf>
    <xf numFmtId="0" fontId="7" fillId="0" borderId="30" xfId="2" applyFont="1" applyBorder="1" applyAlignment="1" applyProtection="1">
      <alignment vertical="center"/>
      <protection locked="0"/>
    </xf>
    <xf numFmtId="0" fontId="10" fillId="0" borderId="42" xfId="2" applyFont="1" applyBorder="1" applyAlignment="1">
      <alignment vertical="center"/>
    </xf>
    <xf numFmtId="0" fontId="69" fillId="0" borderId="0" xfId="0" applyFont="1"/>
    <xf numFmtId="0" fontId="68" fillId="0" borderId="8" xfId="2" applyFont="1" applyBorder="1" applyAlignment="1">
      <alignment vertical="center" wrapText="1"/>
    </xf>
    <xf numFmtId="0" fontId="68" fillId="0" borderId="8" xfId="2" applyFont="1" applyBorder="1" applyAlignment="1">
      <alignment horizontal="left" vertical="center" wrapText="1"/>
    </xf>
    <xf numFmtId="0" fontId="92" fillId="3" borderId="8" xfId="1" applyFont="1" applyFill="1" applyBorder="1" applyAlignment="1">
      <alignment horizontal="center" vertical="center" wrapText="1"/>
    </xf>
    <xf numFmtId="0" fontId="7" fillId="0" borderId="38" xfId="2" applyFont="1" applyBorder="1" applyAlignment="1" applyProtection="1">
      <alignment vertical="center"/>
      <protection locked="0"/>
    </xf>
    <xf numFmtId="3" fontId="6" fillId="0" borderId="0" xfId="5" applyNumberFormat="1" applyFont="1"/>
    <xf numFmtId="3" fontId="6" fillId="0" borderId="0" xfId="6" applyNumberFormat="1" applyFont="1"/>
    <xf numFmtId="2" fontId="6" fillId="0" borderId="0" xfId="2" applyNumberFormat="1" applyFont="1" applyAlignment="1">
      <alignment horizontal="right" vertical="center"/>
    </xf>
    <xf numFmtId="0" fontId="6" fillId="0" borderId="0" xfId="6" applyFont="1" applyAlignment="1">
      <alignment horizontal="center" vertical="center"/>
    </xf>
    <xf numFmtId="4" fontId="6" fillId="0" borderId="0" xfId="2" applyNumberFormat="1" applyFont="1" applyAlignment="1">
      <alignment horizontal="left" vertical="center"/>
    </xf>
    <xf numFmtId="0" fontId="2" fillId="3" borderId="27" xfId="1" applyFill="1" applyBorder="1" applyAlignment="1">
      <alignment vertical="center"/>
    </xf>
    <xf numFmtId="0" fontId="15" fillId="0" borderId="46" xfId="2" applyFont="1" applyBorder="1" applyAlignment="1">
      <alignment horizontal="left" vertical="center"/>
    </xf>
    <xf numFmtId="0" fontId="2" fillId="13" borderId="30" xfId="1" applyFill="1" applyBorder="1" applyAlignment="1">
      <alignment vertical="center" wrapText="1"/>
    </xf>
    <xf numFmtId="4" fontId="6" fillId="0" borderId="0" xfId="6" applyNumberFormat="1" applyFont="1"/>
    <xf numFmtId="4" fontId="6" fillId="0" borderId="0" xfId="5" applyNumberFormat="1" applyFont="1"/>
    <xf numFmtId="0" fontId="6" fillId="0" borderId="0" xfId="6" applyFont="1" applyAlignment="1">
      <alignment horizontal="center" vertical="center" wrapText="1"/>
    </xf>
    <xf numFmtId="0" fontId="2" fillId="3" borderId="8" xfId="1" applyFill="1" applyBorder="1" applyAlignment="1">
      <alignment vertical="center" wrapText="1"/>
    </xf>
    <xf numFmtId="0" fontId="2" fillId="14" borderId="58" xfId="1" applyFill="1" applyBorder="1" applyAlignment="1">
      <alignment horizontal="left" vertical="center" wrapText="1"/>
    </xf>
    <xf numFmtId="3" fontId="7" fillId="3" borderId="8" xfId="2" applyNumberFormat="1" applyFont="1" applyFill="1" applyBorder="1" applyAlignment="1">
      <alignment vertical="center" wrapText="1"/>
    </xf>
    <xf numFmtId="0" fontId="2" fillId="3" borderId="10" xfId="1" applyFill="1" applyBorder="1" applyAlignment="1">
      <alignment vertical="center" wrapText="1"/>
    </xf>
    <xf numFmtId="0" fontId="93" fillId="3" borderId="8" xfId="1" applyFont="1" applyFill="1" applyBorder="1" applyAlignment="1">
      <alignment horizontal="left" vertical="center" wrapText="1"/>
    </xf>
    <xf numFmtId="0" fontId="7" fillId="3" borderId="15" xfId="2" applyFont="1" applyFill="1" applyBorder="1" applyAlignment="1">
      <alignment horizontal="center" vertical="center" wrapText="1"/>
    </xf>
    <xf numFmtId="4" fontId="7" fillId="3" borderId="8" xfId="2" applyNumberFormat="1" applyFont="1" applyFill="1" applyBorder="1" applyAlignment="1">
      <alignment horizontal="left" vertical="center" wrapText="1"/>
    </xf>
    <xf numFmtId="4" fontId="7" fillId="3" borderId="8" xfId="2" applyNumberFormat="1" applyFont="1" applyFill="1" applyBorder="1" applyAlignment="1">
      <alignment vertical="center" wrapText="1"/>
    </xf>
    <xf numFmtId="0" fontId="67" fillId="3" borderId="8" xfId="2" applyFont="1" applyFill="1" applyBorder="1" applyAlignment="1">
      <alignment horizontal="left" vertical="center" wrapText="1"/>
    </xf>
    <xf numFmtId="0" fontId="73" fillId="15" borderId="0" xfId="1" applyFont="1" applyFill="1"/>
    <xf numFmtId="0" fontId="8" fillId="0" borderId="8" xfId="1" applyFont="1" applyFill="1" applyBorder="1" applyAlignment="1">
      <alignment vertical="center" wrapText="1"/>
    </xf>
    <xf numFmtId="0" fontId="94" fillId="0" borderId="6" xfId="2" applyFont="1" applyBorder="1" applyAlignment="1">
      <alignment horizontal="left" vertical="center" wrapText="1"/>
    </xf>
    <xf numFmtId="0" fontId="91" fillId="3" borderId="8" xfId="1" applyFont="1" applyFill="1" applyBorder="1" applyAlignment="1">
      <alignment horizontal="left" vertical="center" wrapText="1"/>
    </xf>
    <xf numFmtId="0" fontId="47" fillId="15" borderId="10" xfId="0" applyFont="1" applyFill="1" applyBorder="1"/>
    <xf numFmtId="168" fontId="6" fillId="15" borderId="10" xfId="0" applyNumberFormat="1" applyFont="1" applyFill="1" applyBorder="1"/>
    <xf numFmtId="0" fontId="52" fillId="15" borderId="10" xfId="0" applyFont="1" applyFill="1" applyBorder="1" applyAlignment="1">
      <alignment horizontal="center" vertical="center"/>
    </xf>
    <xf numFmtId="0" fontId="2" fillId="15" borderId="0" xfId="1" applyFill="1" applyAlignment="1">
      <alignment horizontal="center" vertical="center" wrapText="1"/>
    </xf>
    <xf numFmtId="4" fontId="6" fillId="0" borderId="46" xfId="2" applyNumberFormat="1" applyFont="1" applyBorder="1" applyAlignment="1">
      <alignment horizontal="left" vertical="center"/>
    </xf>
    <xf numFmtId="0" fontId="95" fillId="3" borderId="8" xfId="1" applyFont="1" applyFill="1" applyBorder="1" applyAlignment="1">
      <alignment horizontal="center" vertical="center" wrapText="1"/>
    </xf>
    <xf numFmtId="0" fontId="2" fillId="15" borderId="0" xfId="1" applyFill="1"/>
    <xf numFmtId="2" fontId="6" fillId="0" borderId="0" xfId="2" applyNumberFormat="1" applyFont="1" applyAlignment="1">
      <alignment horizontal="left" vertical="center"/>
    </xf>
    <xf numFmtId="164" fontId="98" fillId="0" borderId="0" xfId="2" applyNumberFormat="1" applyFont="1" applyAlignment="1">
      <alignment horizontal="left" vertical="center"/>
    </xf>
    <xf numFmtId="164" fontId="6" fillId="0" borderId="0" xfId="2" applyNumberFormat="1" applyFont="1" applyAlignment="1">
      <alignment horizontal="left" vertical="center"/>
    </xf>
    <xf numFmtId="43" fontId="7" fillId="3" borderId="8" xfId="8" applyFont="1" applyFill="1" applyBorder="1" applyAlignment="1">
      <alignment horizontal="left" vertical="center" wrapText="1"/>
    </xf>
    <xf numFmtId="0" fontId="68" fillId="5" borderId="8" xfId="2" applyFont="1" applyFill="1" applyBorder="1" applyAlignment="1">
      <alignment horizontal="left" vertical="center" wrapText="1"/>
    </xf>
    <xf numFmtId="0" fontId="68" fillId="5" borderId="8" xfId="2" applyFont="1" applyFill="1" applyBorder="1" applyAlignment="1">
      <alignment horizontal="left" vertical="top" wrapText="1"/>
    </xf>
    <xf numFmtId="0" fontId="74" fillId="16" borderId="0" xfId="0" applyFont="1" applyFill="1" applyAlignment="1">
      <alignment vertical="top" wrapText="1"/>
    </xf>
    <xf numFmtId="0" fontId="84" fillId="16" borderId="0" xfId="0" applyFont="1" applyFill="1" applyAlignment="1">
      <alignment horizontal="left" vertical="center" wrapText="1"/>
    </xf>
    <xf numFmtId="0" fontId="84" fillId="17" borderId="0" xfId="0" applyFont="1" applyFill="1" applyAlignment="1">
      <alignment horizontal="left" vertical="top" wrapText="1"/>
    </xf>
    <xf numFmtId="0" fontId="6" fillId="5" borderId="8" xfId="2" applyFont="1" applyFill="1" applyBorder="1" applyAlignment="1">
      <alignment horizontal="left" vertical="center" wrapText="1"/>
    </xf>
    <xf numFmtId="0" fontId="84" fillId="17" borderId="0" xfId="0" applyFont="1" applyFill="1" applyAlignment="1">
      <alignment horizontal="left" vertical="center" wrapText="1"/>
    </xf>
    <xf numFmtId="0" fontId="68" fillId="5" borderId="10" xfId="2" applyFont="1" applyFill="1" applyBorder="1" applyAlignment="1">
      <alignment horizontal="left" vertical="center" wrapText="1"/>
    </xf>
    <xf numFmtId="0" fontId="68" fillId="0" borderId="10" xfId="2" applyFont="1" applyBorder="1" applyAlignment="1">
      <alignment vertical="center"/>
    </xf>
    <xf numFmtId="0" fontId="6" fillId="5" borderId="8" xfId="2" applyFont="1" applyFill="1" applyBorder="1" applyAlignment="1">
      <alignment horizontal="left" vertical="top" wrapText="1"/>
    </xf>
    <xf numFmtId="0" fontId="84" fillId="17" borderId="0" xfId="1" applyFont="1" applyFill="1" applyAlignment="1">
      <alignment vertical="top" wrapText="1"/>
    </xf>
    <xf numFmtId="0" fontId="74" fillId="17" borderId="0" xfId="0" applyFont="1" applyFill="1" applyAlignment="1">
      <alignment wrapText="1"/>
    </xf>
    <xf numFmtId="0" fontId="6" fillId="5" borderId="4" xfId="2" applyFont="1" applyFill="1" applyBorder="1" applyAlignment="1">
      <alignment horizontal="left" vertical="center" wrapText="1"/>
    </xf>
    <xf numFmtId="0" fontId="6" fillId="5" borderId="4" xfId="2" applyFont="1" applyFill="1" applyBorder="1" applyAlignment="1">
      <alignment horizontal="left" vertical="top" wrapText="1"/>
    </xf>
    <xf numFmtId="0" fontId="84" fillId="17" borderId="0" xfId="0" applyFont="1" applyFill="1"/>
    <xf numFmtId="0" fontId="68" fillId="5" borderId="15" xfId="2" applyFont="1" applyFill="1" applyBorder="1" applyAlignment="1">
      <alignment horizontal="left" vertical="center" wrapText="1"/>
    </xf>
    <xf numFmtId="0" fontId="68" fillId="5" borderId="15" xfId="2" applyFont="1" applyFill="1" applyBorder="1" applyAlignment="1">
      <alignment horizontal="left" vertical="center"/>
    </xf>
    <xf numFmtId="0" fontId="99" fillId="18" borderId="0" xfId="0" applyFont="1" applyFill="1" applyAlignment="1">
      <alignment wrapText="1"/>
    </xf>
    <xf numFmtId="0" fontId="100" fillId="18" borderId="0" xfId="0" applyFont="1" applyFill="1" applyAlignment="1">
      <alignment vertical="top" wrapText="1"/>
    </xf>
    <xf numFmtId="0" fontId="101" fillId="18" borderId="0" xfId="1" applyFont="1" applyFill="1" applyAlignment="1">
      <alignment vertical="top" wrapText="1"/>
    </xf>
    <xf numFmtId="0" fontId="68" fillId="5" borderId="8" xfId="2" applyFont="1" applyFill="1" applyBorder="1" applyAlignment="1">
      <alignment horizontal="left" vertical="top"/>
    </xf>
    <xf numFmtId="0" fontId="15" fillId="0" borderId="8" xfId="2" applyFont="1" applyBorder="1" applyAlignment="1">
      <alignment horizontal="left" vertical="center" wrapText="1"/>
    </xf>
    <xf numFmtId="0" fontId="99" fillId="18" borderId="0" xfId="0" applyFont="1" applyFill="1" applyAlignment="1">
      <alignment vertical="top" wrapText="1"/>
    </xf>
    <xf numFmtId="0" fontId="103" fillId="18" borderId="0" xfId="0" applyFont="1" applyFill="1" applyAlignment="1">
      <alignment wrapText="1"/>
    </xf>
    <xf numFmtId="0" fontId="103" fillId="18" borderId="0" xfId="0" applyFont="1" applyFill="1" applyAlignment="1">
      <alignment vertical="top" wrapText="1"/>
    </xf>
    <xf numFmtId="0" fontId="104" fillId="18" borderId="0" xfId="0" applyFont="1" applyFill="1" applyAlignment="1">
      <alignment wrapText="1"/>
    </xf>
    <xf numFmtId="0" fontId="102" fillId="18" borderId="0" xfId="0" applyFont="1" applyFill="1" applyAlignment="1">
      <alignment wrapText="1"/>
    </xf>
    <xf numFmtId="0" fontId="105" fillId="18" borderId="0" xfId="0" applyFont="1" applyFill="1" applyAlignment="1">
      <alignment vertical="top" wrapText="1"/>
    </xf>
    <xf numFmtId="0" fontId="107" fillId="5" borderId="8" xfId="2" applyFont="1" applyFill="1" applyBorder="1" applyAlignment="1">
      <alignment horizontal="left" vertical="center" wrapText="1"/>
    </xf>
    <xf numFmtId="0" fontId="84" fillId="18" borderId="0" xfId="0" applyFont="1" applyFill="1" applyAlignment="1">
      <alignment vertical="top" wrapText="1"/>
    </xf>
    <xf numFmtId="0" fontId="74" fillId="5" borderId="8" xfId="2" applyFont="1" applyFill="1" applyBorder="1" applyAlignment="1">
      <alignment horizontal="left" vertical="top" wrapText="1"/>
    </xf>
    <xf numFmtId="0" fontId="10" fillId="5" borderId="8" xfId="2" applyFont="1" applyFill="1" applyBorder="1" applyAlignment="1">
      <alignment horizontal="left" vertical="center" wrapText="1"/>
    </xf>
    <xf numFmtId="0" fontId="74" fillId="5" borderId="8" xfId="2" applyFont="1" applyFill="1" applyBorder="1" applyAlignment="1">
      <alignment horizontal="left" vertical="center" wrapText="1"/>
    </xf>
    <xf numFmtId="0" fontId="108" fillId="5" borderId="8" xfId="1" applyFont="1" applyFill="1" applyBorder="1" applyAlignment="1">
      <alignment horizontal="left" vertical="top" wrapText="1"/>
    </xf>
    <xf numFmtId="0" fontId="10" fillId="18" borderId="0" xfId="0" applyFont="1" applyFill="1" applyAlignment="1">
      <alignment vertical="top" wrapText="1"/>
    </xf>
    <xf numFmtId="0" fontId="109" fillId="18" borderId="0" xfId="1" applyFont="1" applyFill="1"/>
    <xf numFmtId="0" fontId="110" fillId="18" borderId="0" xfId="1" applyFont="1" applyFill="1" applyAlignment="1">
      <alignment vertical="top" wrapText="1"/>
    </xf>
    <xf numFmtId="0" fontId="17" fillId="0" borderId="10" xfId="2" applyFont="1" applyBorder="1" applyAlignment="1">
      <alignment horizontal="left" vertical="center"/>
    </xf>
    <xf numFmtId="0" fontId="109" fillId="3" borderId="8" xfId="1" applyFont="1" applyFill="1" applyBorder="1" applyAlignment="1">
      <alignment vertical="center" wrapText="1"/>
    </xf>
    <xf numFmtId="0" fontId="109" fillId="3" borderId="10" xfId="1" applyFont="1" applyFill="1" applyBorder="1" applyAlignment="1">
      <alignment vertical="center" wrapText="1"/>
    </xf>
    <xf numFmtId="0" fontId="6" fillId="0" borderId="0" xfId="0" applyFont="1"/>
    <xf numFmtId="0" fontId="111" fillId="0" borderId="10" xfId="0" applyFont="1" applyBorder="1"/>
    <xf numFmtId="0" fontId="47" fillId="0" borderId="17" xfId="0" applyFont="1" applyBorder="1" applyAlignment="1">
      <alignment horizontal="left" vertical="center" wrapText="1"/>
    </xf>
    <xf numFmtId="0" fontId="7" fillId="3" borderId="15" xfId="2" applyFont="1" applyFill="1" applyBorder="1" applyAlignment="1">
      <alignment horizontal="center" vertical="center" wrapText="1"/>
    </xf>
    <xf numFmtId="0" fontId="8" fillId="0" borderId="15" xfId="1" applyFont="1" applyFill="1" applyBorder="1" applyAlignment="1">
      <alignment horizontal="left" vertical="center" wrapText="1" indent="1"/>
    </xf>
    <xf numFmtId="0" fontId="6" fillId="5" borderId="15" xfId="2" applyFont="1" applyFill="1" applyBorder="1" applyAlignment="1">
      <alignment horizontal="left" vertical="center" wrapText="1"/>
    </xf>
    <xf numFmtId="0" fontId="10" fillId="5" borderId="15" xfId="2" applyFont="1" applyFill="1" applyBorder="1" applyAlignment="1">
      <alignment horizontal="left" vertical="center" wrapText="1"/>
    </xf>
    <xf numFmtId="0" fontId="2" fillId="3" borderId="15" xfId="1" applyFill="1" applyBorder="1" applyAlignment="1">
      <alignment horizontal="center" vertical="center" wrapText="1"/>
    </xf>
    <xf numFmtId="43" fontId="7" fillId="3" borderId="8" xfId="8" applyFont="1" applyFill="1" applyBorder="1" applyAlignment="1">
      <alignment vertical="center" wrapText="1"/>
    </xf>
    <xf numFmtId="0" fontId="7" fillId="3" borderId="8" xfId="2" applyFont="1" applyFill="1" applyBorder="1" applyAlignment="1">
      <alignment vertical="center"/>
    </xf>
    <xf numFmtId="3" fontId="52" fillId="15" borderId="0" xfId="0" applyNumberFormat="1" applyFont="1" applyFill="1" applyAlignment="1">
      <alignment horizontal="left" vertical="center"/>
    </xf>
    <xf numFmtId="2" fontId="7" fillId="3" borderId="8" xfId="2" applyNumberFormat="1" applyFont="1" applyFill="1" applyBorder="1" applyAlignment="1">
      <alignment horizontal="left" wrapText="1"/>
    </xf>
    <xf numFmtId="170" fontId="7" fillId="3" borderId="8" xfId="8" applyNumberFormat="1" applyFont="1" applyFill="1" applyBorder="1" applyAlignment="1">
      <alignment horizontal="left" vertical="center" wrapText="1"/>
    </xf>
    <xf numFmtId="0" fontId="36" fillId="5" borderId="0" xfId="1" applyFont="1" applyFill="1" applyAlignment="1">
      <alignment vertical="center" wrapText="1"/>
    </xf>
    <xf numFmtId="0" fontId="87" fillId="5" borderId="8" xfId="1" applyFont="1" applyFill="1" applyBorder="1" applyAlignment="1">
      <alignment horizontal="left" vertical="center" wrapText="1"/>
    </xf>
    <xf numFmtId="0" fontId="68" fillId="19" borderId="8" xfId="2" applyFont="1" applyFill="1" applyBorder="1" applyAlignment="1">
      <alignment horizontal="left" vertical="center" wrapText="1"/>
    </xf>
    <xf numFmtId="0" fontId="68" fillId="0" borderId="0" xfId="0" applyFont="1" applyAlignment="1">
      <alignment wrapText="1"/>
    </xf>
    <xf numFmtId="0" fontId="72" fillId="0" borderId="8" xfId="2" applyFont="1" applyBorder="1" applyAlignment="1">
      <alignment horizontal="left" vertical="center" wrapText="1"/>
    </xf>
    <xf numFmtId="0" fontId="68" fillId="0" borderId="8" xfId="0" applyFont="1" applyBorder="1" applyAlignment="1">
      <alignment wrapText="1"/>
    </xf>
    <xf numFmtId="0" fontId="68" fillId="0" borderId="10" xfId="0" applyFont="1" applyBorder="1" applyAlignment="1">
      <alignment wrapText="1"/>
    </xf>
    <xf numFmtId="0" fontId="68" fillId="0" borderId="8" xfId="2" applyFont="1" applyFill="1" applyBorder="1" applyAlignment="1">
      <alignment horizontal="left" vertical="center" wrapText="1"/>
    </xf>
    <xf numFmtId="0" fontId="6" fillId="19" borderId="8" xfId="2" applyFont="1" applyFill="1" applyBorder="1" applyAlignment="1">
      <alignment horizontal="left" vertical="center"/>
    </xf>
    <xf numFmtId="0" fontId="2" fillId="15" borderId="0" xfId="1" applyFill="1" applyAlignment="1">
      <alignment wrapText="1"/>
    </xf>
    <xf numFmtId="0" fontId="47" fillId="0" borderId="0" xfId="0" applyFont="1" applyAlignment="1">
      <alignment wrapText="1"/>
    </xf>
    <xf numFmtId="0" fontId="3" fillId="0" borderId="8" xfId="2" applyFont="1" applyBorder="1" applyAlignment="1">
      <alignment horizontal="left" vertical="center" wrapText="1"/>
    </xf>
    <xf numFmtId="0" fontId="5" fillId="0" borderId="8" xfId="2" applyFont="1" applyBorder="1" applyAlignment="1">
      <alignment horizontal="left" vertical="center" wrapText="1"/>
    </xf>
    <xf numFmtId="0" fontId="6" fillId="0" borderId="10" xfId="2" applyFont="1" applyBorder="1" applyAlignment="1">
      <alignment horizontal="left" vertical="center" wrapText="1"/>
    </xf>
    <xf numFmtId="0" fontId="6" fillId="0" borderId="8" xfId="2" applyFont="1" applyBorder="1" applyAlignment="1">
      <alignment horizontal="left" vertical="center" wrapText="1"/>
    </xf>
    <xf numFmtId="0" fontId="87" fillId="5" borderId="8" xfId="1" applyFont="1" applyFill="1" applyBorder="1" applyAlignment="1">
      <alignment horizontal="left" vertical="top" wrapText="1"/>
    </xf>
    <xf numFmtId="0" fontId="16" fillId="0" borderId="0" xfId="2" applyFont="1" applyAlignment="1">
      <alignment horizontal="left" vertical="center" wrapText="1"/>
    </xf>
    <xf numFmtId="0" fontId="54" fillId="6" borderId="0" xfId="2" applyFont="1" applyFill="1" applyAlignment="1">
      <alignment horizontal="left" vertical="center" wrapText="1" indent="2"/>
    </xf>
    <xf numFmtId="0" fontId="47" fillId="6" borderId="0" xfId="0" applyFont="1" applyFill="1" applyAlignment="1">
      <alignment wrapText="1"/>
    </xf>
    <xf numFmtId="0" fontId="47" fillId="6" borderId="0" xfId="0" applyFont="1" applyFill="1" applyAlignment="1"/>
    <xf numFmtId="0" fontId="17" fillId="6" borderId="58" xfId="2" applyFont="1" applyFill="1" applyBorder="1" applyAlignment="1">
      <alignment horizontal="left" vertical="center" wrapText="1"/>
    </xf>
    <xf numFmtId="0" fontId="56" fillId="0" borderId="0" xfId="6" applyFont="1" applyAlignment="1">
      <alignment vertical="center"/>
    </xf>
    <xf numFmtId="0" fontId="69" fillId="0" borderId="0" xfId="2" applyFont="1" applyAlignment="1">
      <alignment horizontal="left" vertical="center"/>
    </xf>
    <xf numFmtId="0" fontId="89" fillId="0" borderId="0" xfId="4" applyFont="1" applyFill="1" applyBorder="1" applyAlignment="1">
      <alignment horizontal="center" vertical="center"/>
    </xf>
    <xf numFmtId="0" fontId="69" fillId="0" borderId="0" xfId="2" applyFont="1" applyAlignment="1">
      <alignment horizontal="left" vertical="center" wrapText="1"/>
    </xf>
    <xf numFmtId="0" fontId="74" fillId="6" borderId="0" xfId="2" applyFont="1" applyFill="1" applyAlignment="1">
      <alignment horizontal="left" vertical="center"/>
    </xf>
    <xf numFmtId="0" fontId="72" fillId="6" borderId="0" xfId="2" applyFont="1" applyFill="1" applyAlignment="1">
      <alignment horizontal="left" vertical="center"/>
    </xf>
    <xf numFmtId="0" fontId="79" fillId="6" borderId="0" xfId="2" applyFont="1" applyFill="1" applyAlignment="1">
      <alignment horizontal="left" vertical="center" wrapText="1" indent="3"/>
    </xf>
    <xf numFmtId="0" fontId="77" fillId="6" borderId="0" xfId="2" applyFont="1" applyFill="1" applyAlignment="1">
      <alignment horizontal="left" vertical="center" wrapText="1" indent="3"/>
    </xf>
    <xf numFmtId="0" fontId="84" fillId="6" borderId="0" xfId="4" applyFont="1" applyFill="1" applyAlignment="1"/>
    <xf numFmtId="0" fontId="74" fillId="0" borderId="52" xfId="2" applyFont="1" applyBorder="1" applyAlignment="1">
      <alignment vertical="center"/>
    </xf>
    <xf numFmtId="0" fontId="89" fillId="6" borderId="53" xfId="4" applyFont="1" applyFill="1" applyBorder="1" applyAlignment="1">
      <alignment horizontal="center" vertical="center"/>
    </xf>
    <xf numFmtId="0" fontId="89" fillId="6" borderId="54" xfId="4" applyFont="1" applyFill="1" applyBorder="1" applyAlignment="1">
      <alignment horizontal="center" vertical="center"/>
    </xf>
    <xf numFmtId="0" fontId="89" fillId="6" borderId="55" xfId="4" applyFont="1" applyFill="1" applyBorder="1" applyAlignment="1">
      <alignment horizontal="center" vertical="center"/>
    </xf>
    <xf numFmtId="0" fontId="74" fillId="0" borderId="56" xfId="2" applyFont="1" applyBorder="1" applyAlignment="1">
      <alignment vertical="center"/>
    </xf>
    <xf numFmtId="0" fontId="69" fillId="0" borderId="36" xfId="2" applyFont="1" applyBorder="1" applyAlignment="1">
      <alignment horizontal="left" vertical="center"/>
    </xf>
    <xf numFmtId="0" fontId="68" fillId="16" borderId="15" xfId="0" applyFont="1" applyFill="1" applyBorder="1" applyAlignment="1">
      <alignment horizontal="center" vertical="center" wrapText="1"/>
    </xf>
    <xf numFmtId="0" fontId="68" fillId="16" borderId="17" xfId="0" applyFont="1" applyFill="1" applyBorder="1" applyAlignment="1">
      <alignment horizontal="center" vertical="center" wrapText="1"/>
    </xf>
    <xf numFmtId="0" fontId="68" fillId="16" borderId="18" xfId="0" applyFont="1" applyFill="1" applyBorder="1" applyAlignment="1">
      <alignment horizontal="center" vertical="center" wrapText="1"/>
    </xf>
    <xf numFmtId="0" fontId="56" fillId="0" borderId="7" xfId="2" applyFont="1" applyBorder="1" applyAlignment="1">
      <alignment horizontal="left" vertical="center" wrapText="1"/>
    </xf>
    <xf numFmtId="0" fontId="56" fillId="0" borderId="7" xfId="0" applyFont="1" applyBorder="1" applyAlignment="1">
      <alignment wrapText="1"/>
    </xf>
    <xf numFmtId="0" fontId="68" fillId="2" borderId="15" xfId="2" applyFont="1" applyFill="1" applyBorder="1" applyAlignment="1">
      <alignment horizontal="left" vertical="center"/>
    </xf>
    <xf numFmtId="0" fontId="68" fillId="0" borderId="17" xfId="0" applyFont="1" applyBorder="1" applyAlignment="1">
      <alignment horizontal="left" vertical="center"/>
    </xf>
    <xf numFmtId="0" fontId="68" fillId="0" borderId="18" xfId="0" applyFont="1" applyBorder="1" applyAlignment="1">
      <alignment horizontal="left" vertical="center"/>
    </xf>
    <xf numFmtId="0" fontId="67" fillId="3" borderId="15" xfId="2" applyFont="1" applyFill="1" applyBorder="1" applyAlignment="1">
      <alignment horizontal="center" vertical="center" wrapText="1"/>
    </xf>
    <xf numFmtId="0" fontId="67" fillId="3" borderId="17" xfId="2" applyFont="1" applyFill="1" applyBorder="1" applyAlignment="1">
      <alignment horizontal="center" vertical="center" wrapText="1"/>
    </xf>
    <xf numFmtId="0" fontId="67" fillId="3" borderId="18" xfId="2" applyFont="1" applyFill="1" applyBorder="1" applyAlignment="1">
      <alignment horizontal="center" vertical="center" wrapText="1"/>
    </xf>
    <xf numFmtId="0" fontId="67" fillId="0" borderId="15" xfId="2" applyFont="1" applyBorder="1" applyAlignment="1">
      <alignment horizontal="center" vertical="center"/>
    </xf>
    <xf numFmtId="0" fontId="67" fillId="0" borderId="17" xfId="2" applyFont="1" applyBorder="1" applyAlignment="1">
      <alignment horizontal="center" vertical="center"/>
    </xf>
    <xf numFmtId="0" fontId="67" fillId="0" borderId="18" xfId="2" applyFont="1" applyBorder="1" applyAlignment="1">
      <alignment horizontal="center" vertical="center"/>
    </xf>
    <xf numFmtId="0" fontId="67" fillId="0" borderId="15" xfId="2" applyFont="1" applyBorder="1" applyAlignment="1">
      <alignment horizontal="left" vertical="center" indent="3"/>
    </xf>
    <xf numFmtId="0" fontId="67" fillId="0" borderId="18" xfId="2" applyFont="1" applyBorder="1" applyAlignment="1">
      <alignment horizontal="left" vertical="center" indent="3"/>
    </xf>
    <xf numFmtId="0" fontId="67" fillId="3" borderId="15" xfId="2" applyFont="1" applyFill="1" applyBorder="1" applyAlignment="1">
      <alignment vertical="center" wrapText="1"/>
    </xf>
    <xf numFmtId="0" fontId="67" fillId="3" borderId="18" xfId="2" applyFont="1" applyFill="1" applyBorder="1" applyAlignment="1">
      <alignment vertical="center" wrapText="1"/>
    </xf>
    <xf numFmtId="0" fontId="56" fillId="0" borderId="7" xfId="2" applyFont="1" applyBorder="1" applyAlignment="1">
      <alignment vertical="center" wrapText="1"/>
    </xf>
    <xf numFmtId="0" fontId="56" fillId="0" borderId="7" xfId="0" applyFont="1" applyBorder="1" applyAlignment="1">
      <alignment vertical="center" wrapText="1"/>
    </xf>
    <xf numFmtId="0" fontId="68" fillId="2" borderId="15" xfId="2" applyFont="1" applyFill="1" applyBorder="1" applyAlignment="1">
      <alignment vertical="center"/>
    </xf>
    <xf numFmtId="0" fontId="68" fillId="0" borderId="17" xfId="0" applyFont="1" applyBorder="1" applyAlignment="1">
      <alignment vertical="center"/>
    </xf>
    <xf numFmtId="0" fontId="68" fillId="0" borderId="18" xfId="0" applyFont="1" applyBorder="1" applyAlignment="1">
      <alignment vertical="center"/>
    </xf>
    <xf numFmtId="0" fontId="68" fillId="0" borderId="7" xfId="0" applyFont="1" applyBorder="1" applyAlignment="1">
      <alignment horizontal="left" vertical="center" wrapText="1"/>
    </xf>
    <xf numFmtId="0" fontId="56" fillId="0" borderId="7" xfId="0" applyFont="1" applyBorder="1" applyAlignment="1">
      <alignment horizontal="left" vertical="center" wrapText="1"/>
    </xf>
    <xf numFmtId="0" fontId="106" fillId="2" borderId="15" xfId="2" applyFont="1" applyFill="1" applyBorder="1" applyAlignment="1">
      <alignment vertical="center"/>
    </xf>
    <xf numFmtId="0" fontId="106" fillId="0" borderId="17" xfId="0" applyFont="1" applyBorder="1" applyAlignment="1">
      <alignment vertical="center"/>
    </xf>
    <xf numFmtId="0" fontId="106" fillId="0" borderId="18" xfId="0" applyFont="1" applyBorder="1" applyAlignment="1">
      <alignment vertical="center"/>
    </xf>
    <xf numFmtId="0" fontId="6" fillId="2" borderId="61" xfId="2" applyFont="1" applyFill="1" applyBorder="1" applyAlignment="1">
      <alignment horizontal="center" vertical="center" wrapText="1"/>
    </xf>
    <xf numFmtId="0" fontId="6" fillId="2" borderId="62" xfId="2" applyFont="1" applyFill="1" applyBorder="1" applyAlignment="1">
      <alignment horizontal="center" vertical="center" wrapText="1"/>
    </xf>
    <xf numFmtId="0" fontId="6" fillId="2" borderId="63" xfId="2" applyFont="1" applyFill="1" applyBorder="1" applyAlignment="1">
      <alignment horizontal="center" vertical="center" wrapText="1"/>
    </xf>
    <xf numFmtId="0" fontId="6" fillId="2" borderId="15" xfId="2" applyFont="1" applyFill="1" applyBorder="1" applyAlignment="1">
      <alignment vertical="center" wrapText="1"/>
    </xf>
    <xf numFmtId="0" fontId="47" fillId="0" borderId="17" xfId="0" applyFont="1" applyBorder="1" applyAlignment="1">
      <alignment vertical="center" wrapText="1"/>
    </xf>
    <xf numFmtId="0" fontId="47" fillId="0" borderId="18" xfId="0" applyFont="1" applyBorder="1" applyAlignment="1">
      <alignment vertical="center" wrapText="1"/>
    </xf>
    <xf numFmtId="0" fontId="68" fillId="2" borderId="15" xfId="2" applyFont="1" applyFill="1" applyBorder="1" applyAlignment="1">
      <alignment vertical="center" wrapText="1"/>
    </xf>
    <xf numFmtId="0" fontId="68" fillId="0" borderId="17" xfId="0" applyFont="1" applyBorder="1" applyAlignment="1">
      <alignment vertical="center" wrapText="1"/>
    </xf>
    <xf numFmtId="0" fontId="68" fillId="0" borderId="18" xfId="0" applyFont="1" applyBorder="1" applyAlignment="1">
      <alignment vertical="center" wrapText="1"/>
    </xf>
    <xf numFmtId="0" fontId="6" fillId="2" borderId="19" xfId="2" applyFont="1" applyFill="1" applyBorder="1" applyAlignment="1">
      <alignment vertical="center"/>
    </xf>
    <xf numFmtId="0" fontId="47" fillId="0" borderId="20" xfId="0" applyFont="1" applyBorder="1" applyAlignment="1">
      <alignment vertical="center"/>
    </xf>
    <xf numFmtId="0" fontId="47" fillId="0" borderId="21" xfId="0" applyFont="1" applyBorder="1" applyAlignment="1">
      <alignment vertical="center"/>
    </xf>
    <xf numFmtId="0" fontId="6" fillId="2" borderId="22" xfId="2" applyFont="1" applyFill="1" applyBorder="1" applyAlignment="1">
      <alignment vertical="center"/>
    </xf>
    <xf numFmtId="0" fontId="6" fillId="2" borderId="22" xfId="2" applyFont="1" applyFill="1" applyBorder="1" applyAlignment="1">
      <alignment horizontal="left" vertical="center"/>
    </xf>
    <xf numFmtId="0" fontId="6" fillId="2" borderId="15" xfId="2" applyFont="1" applyFill="1" applyBorder="1" applyAlignment="1">
      <alignment horizontal="left" vertical="center" wrapText="1"/>
    </xf>
    <xf numFmtId="0" fontId="47" fillId="0" borderId="17" xfId="0" applyFont="1" applyBorder="1" applyAlignment="1">
      <alignment horizontal="left" vertical="center" wrapText="1"/>
    </xf>
    <xf numFmtId="0" fontId="47" fillId="0" borderId="18" xfId="0" applyFont="1" applyBorder="1" applyAlignment="1">
      <alignment horizontal="left" vertical="center" wrapText="1"/>
    </xf>
    <xf numFmtId="0" fontId="16" fillId="0" borderId="0" xfId="2" applyFont="1" applyAlignment="1">
      <alignment horizontal="left" vertical="center"/>
    </xf>
    <xf numFmtId="0" fontId="6" fillId="0" borderId="0" xfId="2" applyFont="1" applyAlignment="1">
      <alignment horizontal="left" vertical="center"/>
    </xf>
    <xf numFmtId="0" fontId="27" fillId="7" borderId="24" xfId="2" applyFont="1" applyFill="1" applyBorder="1" applyAlignment="1">
      <alignment horizontal="left" vertical="center"/>
    </xf>
    <xf numFmtId="0" fontId="26" fillId="3" borderId="0" xfId="2" applyFont="1" applyFill="1" applyAlignment="1">
      <alignment vertical="center"/>
    </xf>
    <xf numFmtId="0" fontId="23" fillId="6" borderId="33" xfId="4" applyFont="1" applyFill="1" applyBorder="1" applyAlignment="1">
      <alignment horizontal="center" vertical="center"/>
    </xf>
    <xf numFmtId="0" fontId="23" fillId="6" borderId="34" xfId="4" applyFont="1" applyFill="1" applyBorder="1" applyAlignment="1">
      <alignment horizontal="center" vertical="center"/>
    </xf>
    <xf numFmtId="0" fontId="23" fillId="6" borderId="35" xfId="4" applyFont="1" applyFill="1" applyBorder="1" applyAlignment="1">
      <alignment horizontal="center" vertical="center"/>
    </xf>
    <xf numFmtId="0" fontId="23" fillId="6" borderId="0" xfId="4" applyFont="1" applyFill="1" applyBorder="1" applyAlignment="1">
      <alignment horizontal="center" vertical="center"/>
    </xf>
    <xf numFmtId="0" fontId="16" fillId="0" borderId="36" xfId="2" applyFont="1" applyBorder="1" applyAlignment="1">
      <alignment horizontal="left" vertical="center"/>
    </xf>
    <xf numFmtId="0" fontId="10" fillId="12" borderId="0" xfId="2" applyFont="1" applyFill="1" applyAlignment="1">
      <alignment horizontal="left" vertical="center"/>
    </xf>
    <xf numFmtId="0" fontId="19" fillId="6" borderId="0" xfId="2" applyFont="1" applyFill="1" applyAlignment="1">
      <alignment horizontal="left" vertical="center"/>
    </xf>
    <xf numFmtId="0" fontId="15" fillId="6" borderId="0" xfId="2" applyFont="1" applyFill="1" applyAlignment="1">
      <alignment horizontal="left" vertical="center" wrapText="1" indent="3"/>
    </xf>
    <xf numFmtId="0" fontId="6" fillId="6" borderId="0" xfId="0" applyFont="1" applyFill="1" applyAlignment="1"/>
    <xf numFmtId="0" fontId="24" fillId="6" borderId="0" xfId="2" applyFont="1" applyFill="1" applyAlignment="1">
      <alignment vertical="center"/>
    </xf>
    <xf numFmtId="0" fontId="25" fillId="6" borderId="0" xfId="2" applyFont="1" applyFill="1" applyAlignment="1">
      <alignment horizontal="left" vertical="center"/>
    </xf>
    <xf numFmtId="0" fontId="15" fillId="0" borderId="0" xfId="2" applyFont="1" applyAlignment="1">
      <alignment horizontal="left" vertical="center"/>
    </xf>
    <xf numFmtId="0" fontId="37" fillId="0" borderId="0" xfId="4" applyFont="1" applyFill="1" applyBorder="1" applyAlignment="1">
      <alignment horizontal="left" vertical="center" wrapText="1"/>
    </xf>
    <xf numFmtId="0" fontId="8" fillId="6" borderId="0" xfId="6" applyFont="1" applyFill="1" applyAlignment="1">
      <alignment horizontal="left" vertical="center" wrapText="1"/>
    </xf>
    <xf numFmtId="0" fontId="8" fillId="6" borderId="0" xfId="6" applyFont="1" applyFill="1" applyAlignment="1">
      <alignment horizontal="left" vertical="top" wrapText="1" indent="3"/>
    </xf>
    <xf numFmtId="0" fontId="8" fillId="6" borderId="0" xfId="4" applyFont="1" applyFill="1" applyAlignment="1"/>
    <xf numFmtId="0" fontId="37" fillId="6" borderId="0" xfId="4" applyFont="1" applyFill="1" applyAlignment="1"/>
    <xf numFmtId="0" fontId="38" fillId="6" borderId="0" xfId="6" applyFont="1" applyFill="1" applyAlignment="1">
      <alignment vertical="center"/>
    </xf>
    <xf numFmtId="0" fontId="37" fillId="6" borderId="38" xfId="4" applyFont="1" applyFill="1" applyBorder="1" applyAlignment="1">
      <alignment horizontal="left" vertical="center" wrapText="1"/>
    </xf>
    <xf numFmtId="0" fontId="39" fillId="3" borderId="0" xfId="4" applyFont="1" applyFill="1" applyBorder="1" applyAlignment="1">
      <alignment horizontal="left" vertical="center" wrapText="1"/>
    </xf>
    <xf numFmtId="0" fontId="39" fillId="3" borderId="38" xfId="4" applyFont="1" applyFill="1" applyBorder="1" applyAlignment="1">
      <alignment horizontal="left" vertical="center" wrapText="1"/>
    </xf>
    <xf numFmtId="0" fontId="19" fillId="6" borderId="0" xfId="6" applyFont="1" applyFill="1" applyAlignment="1">
      <alignment vertical="center" wrapText="1"/>
    </xf>
    <xf numFmtId="0" fontId="15" fillId="6" borderId="0" xfId="6" applyFont="1" applyFill="1" applyAlignment="1">
      <alignment horizontal="left" vertical="center" wrapText="1"/>
    </xf>
    <xf numFmtId="0" fontId="22" fillId="6" borderId="0" xfId="4" applyFont="1" applyFill="1" applyAlignment="1"/>
    <xf numFmtId="0" fontId="8" fillId="6" borderId="0" xfId="6" applyFont="1" applyFill="1" applyAlignment="1">
      <alignment horizontal="left" vertical="center" wrapText="1" indent="3"/>
    </xf>
    <xf numFmtId="0" fontId="15" fillId="6" borderId="0" xfId="6" applyFont="1" applyFill="1" applyAlignment="1">
      <alignment horizontal="left" vertical="center" wrapText="1" indent="3"/>
    </xf>
    <xf numFmtId="0" fontId="8" fillId="6" borderId="0" xfId="2" applyFont="1" applyFill="1" applyAlignment="1">
      <alignment horizontal="left" vertical="center" wrapText="1" indent="3"/>
    </xf>
    <xf numFmtId="0" fontId="10" fillId="0" borderId="0" xfId="2" applyFont="1" applyAlignment="1">
      <alignment vertical="center"/>
    </xf>
    <xf numFmtId="0" fontId="10" fillId="0" borderId="42" xfId="2" applyFont="1" applyBorder="1" applyAlignment="1">
      <alignment vertical="center"/>
    </xf>
    <xf numFmtId="0" fontId="10" fillId="0" borderId="30" xfId="2" applyFont="1" applyBorder="1" applyAlignment="1">
      <alignment vertical="center"/>
    </xf>
    <xf numFmtId="0" fontId="15" fillId="6" borderId="0" xfId="2" applyFont="1" applyFill="1" applyAlignment="1">
      <alignment horizontal="left" vertical="center" indent="1"/>
    </xf>
    <xf numFmtId="0" fontId="46" fillId="6" borderId="0" xfId="6" applyFont="1" applyFill="1" applyAlignment="1">
      <alignment vertical="center" wrapText="1"/>
    </xf>
    <xf numFmtId="0" fontId="15" fillId="6" borderId="0" xfId="6" applyFont="1" applyFill="1" applyAlignment="1">
      <alignment horizontal="left" vertical="center" wrapText="1" indent="2"/>
    </xf>
    <xf numFmtId="0" fontId="6" fillId="6" borderId="0" xfId="6" applyFont="1" applyFill="1" applyAlignment="1">
      <alignment horizontal="left" vertical="center" wrapText="1" indent="2"/>
    </xf>
    <xf numFmtId="0" fontId="43" fillId="0" borderId="0" xfId="6" applyFont="1" applyAlignment="1"/>
    <xf numFmtId="0" fontId="44" fillId="6" borderId="0" xfId="6" applyFont="1" applyFill="1" applyAlignment="1">
      <alignment vertical="center"/>
    </xf>
    <xf numFmtId="0" fontId="7" fillId="3" borderId="15" xfId="2" applyFont="1" applyFill="1" applyBorder="1" applyAlignment="1">
      <alignment horizontal="center" vertical="center" wrapText="1"/>
    </xf>
    <xf numFmtId="0" fontId="7" fillId="3" borderId="17" xfId="2" applyFont="1" applyFill="1" applyBorder="1" applyAlignment="1">
      <alignment horizontal="center" vertical="center" wrapText="1"/>
    </xf>
    <xf numFmtId="0" fontId="7" fillId="3" borderId="18" xfId="2" applyFont="1" applyFill="1" applyBorder="1" applyAlignment="1">
      <alignment horizontal="center" vertical="center" wrapText="1"/>
    </xf>
    <xf numFmtId="0" fontId="6" fillId="2" borderId="15" xfId="2" applyFont="1" applyFill="1" applyBorder="1" applyAlignment="1">
      <alignment horizontal="left" vertical="center"/>
    </xf>
    <xf numFmtId="0" fontId="47" fillId="0" borderId="17" xfId="0" applyFont="1" applyBorder="1" applyAlignment="1">
      <alignment horizontal="left" vertical="center"/>
    </xf>
    <xf numFmtId="0" fontId="47" fillId="0" borderId="18" xfId="0" applyFont="1" applyBorder="1" applyAlignment="1">
      <alignment horizontal="left" vertical="center"/>
    </xf>
    <xf numFmtId="0" fontId="14" fillId="0" borderId="7" xfId="2" applyFont="1" applyBorder="1" applyAlignment="1">
      <alignment horizontal="left" vertical="center" wrapText="1"/>
    </xf>
    <xf numFmtId="0" fontId="42" fillId="0" borderId="7" xfId="0" applyFont="1" applyBorder="1" applyAlignment="1">
      <alignment horizontal="left" vertical="center" wrapText="1"/>
    </xf>
    <xf numFmtId="0" fontId="6" fillId="0" borderId="17" xfId="0" applyFont="1" applyBorder="1" applyAlignment="1">
      <alignment horizontal="left" vertical="center"/>
    </xf>
    <xf numFmtId="0" fontId="6" fillId="0" borderId="23" xfId="0" applyFont="1" applyBorder="1" applyAlignment="1">
      <alignment horizontal="left" vertical="center"/>
    </xf>
    <xf numFmtId="0" fontId="8" fillId="0" borderId="15" xfId="1" applyFont="1" applyFill="1" applyBorder="1" applyAlignment="1">
      <alignment horizontal="center" vertical="center" wrapText="1"/>
    </xf>
    <xf numFmtId="0" fontId="8" fillId="0" borderId="17" xfId="1" applyFont="1" applyFill="1" applyBorder="1" applyAlignment="1">
      <alignment horizontal="center" vertical="center" wrapText="1"/>
    </xf>
    <xf numFmtId="0" fontId="8" fillId="0" borderId="23" xfId="1" applyFont="1" applyFill="1" applyBorder="1" applyAlignment="1">
      <alignment horizontal="center" vertical="center" wrapText="1"/>
    </xf>
    <xf numFmtId="0" fontId="7" fillId="3" borderId="23" xfId="2" applyFont="1" applyFill="1" applyBorder="1" applyAlignment="1">
      <alignment horizontal="center" vertical="center" wrapText="1"/>
    </xf>
    <xf numFmtId="0" fontId="14" fillId="0" borderId="14" xfId="2" applyFont="1" applyBorder="1" applyAlignment="1">
      <alignment horizontal="left" vertical="center" wrapText="1"/>
    </xf>
    <xf numFmtId="0" fontId="42" fillId="0" borderId="16" xfId="0" applyFont="1" applyBorder="1" applyAlignment="1">
      <alignment horizontal="left" vertical="center" wrapText="1"/>
    </xf>
    <xf numFmtId="0" fontId="42" fillId="0" borderId="13" xfId="0" applyFont="1" applyBorder="1" applyAlignment="1">
      <alignment horizontal="left" vertical="center" wrapText="1"/>
    </xf>
    <xf numFmtId="0" fontId="42" fillId="0" borderId="9" xfId="0" applyFont="1" applyBorder="1" applyAlignment="1">
      <alignment horizontal="left" vertical="center" wrapText="1"/>
    </xf>
  </cellXfs>
  <cellStyles count="9">
    <cellStyle name="Comma" xfId="8" builtinId="3"/>
    <cellStyle name="Comma 2" xfId="5" xr:uid="{923C7066-520C-8C43-AD25-BFFF7B055492}"/>
    <cellStyle name="Explanatory Text 2" xfId="7" xr:uid="{E58E5BF5-7433-224B-9B9D-316B1A46777F}"/>
    <cellStyle name="Hyperlink" xfId="1" builtinId="8"/>
    <cellStyle name="Hyperlink 2" xfId="3" xr:uid="{EC28C496-14A9-F64F-A2F0-23D2D17EB992}"/>
    <cellStyle name="Hyperlink 3" xfId="4" xr:uid="{838F9D14-C41A-4842-92F6-1FA604AE2F68}"/>
    <cellStyle name="Normal" xfId="0" builtinId="0"/>
    <cellStyle name="Normal 2" xfId="2" xr:uid="{6BA602D6-A6C6-F340-A2F4-9BA3F81DC569}"/>
    <cellStyle name="Normal 3" xfId="6" xr:uid="{21234156-CF00-AD4A-9586-0915107E01AD}"/>
  </cellStyles>
  <dxfs count="65">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numFmt numFmtId="165" formatCode="_ * #,##0_ ;_ * \-#,##0_ ;_ * &quot;-&quot;??_ ;_ @_ "/>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b val="0"/>
        <i val="0"/>
        <strike val="0"/>
        <condense val="0"/>
        <extend val="0"/>
        <outline val="0"/>
        <shadow val="0"/>
        <u val="none"/>
        <vertAlign val="baseline"/>
        <sz val="11"/>
        <color theme="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numFmt numFmtId="0" formatCode="General"/>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numFmt numFmtId="0" formatCode="General"/>
    </dxf>
    <dxf>
      <font>
        <strike val="0"/>
        <outline val="0"/>
        <shadow val="0"/>
        <vertAlign val="baseline"/>
        <sz val="11"/>
        <name val="Franklin Gothic Book"/>
        <family val="2"/>
        <scheme val="none"/>
      </font>
      <numFmt numFmtId="0" formatCode="General"/>
    </dxf>
    <dxf>
      <font>
        <strike val="0"/>
        <outline val="0"/>
        <shadow val="0"/>
        <vertAlign val="baseline"/>
        <sz val="11"/>
        <name val="Franklin Gothic Book"/>
        <family val="2"/>
        <scheme val="none"/>
      </font>
      <numFmt numFmtId="0" formatCode="General"/>
    </dxf>
    <dxf>
      <font>
        <strike val="0"/>
        <outline val="0"/>
        <shadow val="0"/>
        <vertAlign val="baseline"/>
        <sz val="11"/>
        <name val="Franklin Gothic Book"/>
        <family val="2"/>
        <scheme val="none"/>
      </font>
      <numFmt numFmtId="0" formatCode="General"/>
    </dxf>
    <dxf>
      <font>
        <strike val="0"/>
        <outline val="0"/>
        <shadow val="0"/>
        <vertAlign val="baseline"/>
        <sz val="11"/>
        <name val="Franklin Gothic Book"/>
        <family val="2"/>
        <scheme val="none"/>
      </font>
    </dxf>
    <dxf>
      <font>
        <strike val="0"/>
        <outline val="0"/>
        <shadow val="0"/>
        <vertAlign val="baseline"/>
        <sz val="11"/>
        <name val="Franklin Gothic Book"/>
        <family val="2"/>
        <scheme val="none"/>
      </font>
    </dxf>
    <dxf>
      <font>
        <i/>
        <strike val="0"/>
        <outline val="0"/>
        <shadow val="0"/>
        <u val="none"/>
        <vertAlign val="baseline"/>
        <sz val="11"/>
        <color theme="1"/>
        <name val="Franklin Gothic Book"/>
        <family val="2"/>
        <scheme val="none"/>
      </font>
    </dxf>
    <dxf>
      <font>
        <i val="0"/>
        <strike val="0"/>
        <outline val="0"/>
        <shadow val="0"/>
        <u val="none"/>
        <vertAlign val="baseline"/>
        <sz val="11"/>
        <color theme="1"/>
        <name val="Franklin Gothic Book"/>
        <family val="2"/>
        <scheme val="none"/>
      </font>
      <numFmt numFmtId="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1"/>
        <color theme="1"/>
        <name val="Franklin Gothic Book"/>
        <family val="2"/>
        <scheme val="none"/>
      </font>
    </dxf>
    <dxf>
      <font>
        <strike val="0"/>
        <outline val="0"/>
        <shadow val="0"/>
        <u val="none"/>
        <vertAlign val="baseline"/>
        <sz val="11"/>
        <color theme="1"/>
        <name val="Franklin Gothic Book"/>
        <family val="2"/>
        <scheme val="none"/>
      </font>
      <numFmt numFmtId="4" formatCode="#,##0.00"/>
    </dxf>
    <dxf>
      <font>
        <strike val="0"/>
        <outline val="0"/>
        <shadow val="0"/>
        <u val="none"/>
        <vertAlign val="baseline"/>
        <sz val="11"/>
        <color theme="1"/>
        <name val="Franklin Gothic Book"/>
        <family val="2"/>
        <scheme val="none"/>
      </font>
    </dxf>
    <dxf>
      <font>
        <b val="0"/>
        <i/>
        <strike val="0"/>
        <condense val="0"/>
        <extend val="0"/>
        <outline val="0"/>
        <shadow val="0"/>
        <u val="none"/>
        <vertAlign val="baseline"/>
        <sz val="11"/>
        <color theme="1"/>
        <name val="Franklin Gothic Book"/>
        <family val="2"/>
        <scheme val="none"/>
      </font>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1"/>
        <color theme="1"/>
        <name val="Franklin Gothic Book"/>
        <family val="2"/>
        <scheme val="none"/>
      </font>
    </dxf>
    <dxf>
      <font>
        <strike val="0"/>
        <outline val="0"/>
        <shadow val="0"/>
        <u val="none"/>
        <vertAlign val="baseline"/>
        <sz val="11"/>
        <color theme="1"/>
        <name val="Franklin Gothic Book"/>
        <family val="2"/>
        <scheme val="none"/>
      </font>
      <alignment horizontal="center" textRotation="0" wrapText="0" indent="0" justifyLastLine="0" shrinkToFit="0" readingOrder="0"/>
    </dxf>
    <dxf>
      <font>
        <i/>
        <strike val="0"/>
        <outline val="0"/>
        <shadow val="0"/>
        <vertAlign val="baseline"/>
        <sz val="11"/>
        <name val="Franklin Gothic Book"/>
        <family val="2"/>
        <scheme val="none"/>
      </font>
    </dxf>
    <dxf>
      <border outline="0">
        <top style="medium">
          <color indexed="64"/>
        </top>
      </border>
    </dxf>
    <dxf>
      <font>
        <strike val="0"/>
        <outline val="0"/>
        <shadow val="0"/>
        <vertAlign val="baseline"/>
        <sz val="11"/>
        <name val="Franklin Gothic Book"/>
        <family val="2"/>
        <scheme val="none"/>
      </font>
    </dxf>
    <dxf>
      <font>
        <b val="0"/>
        <i val="0"/>
        <strike val="0"/>
        <condense val="0"/>
        <extend val="0"/>
        <outline val="0"/>
        <shadow val="0"/>
        <u val="none"/>
        <vertAlign val="baseline"/>
        <sz val="11"/>
        <color theme="1"/>
        <name val="Franklin Gothic Book"/>
        <family val="2"/>
        <scheme val="none"/>
      </font>
      <fill>
        <patternFill patternType="none">
          <fgColor indexed="64"/>
          <bgColor indexed="65"/>
        </patternFill>
      </fill>
      <alignment horizontal="left" vertical="center" textRotation="0" wrapText="0" indent="0" justifyLastLine="0" shrinkToFit="0" readingOrder="0"/>
    </dxf>
    <dxf>
      <font>
        <b val="0"/>
        <i/>
        <strike val="0"/>
        <condense val="0"/>
        <extend val="0"/>
        <outline val="0"/>
        <shadow val="0"/>
        <u val="none"/>
        <vertAlign val="baseline"/>
        <sz val="11"/>
        <color theme="1"/>
        <name val="Franklin Gothic Book"/>
        <family val="2"/>
        <scheme val="none"/>
      </font>
      <numFmt numFmtId="164" formatCode="_ * #,##0.00_ ;_ * \-#,##0.00_ ;_ * &quot;-&quot;??_ ;_ @_ "/>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1"/>
        <color rgb="FFFF0000"/>
        <name val="Franklin Gothic Book"/>
        <family val="2"/>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1"/>
        <color rgb="FFFF0000"/>
        <name val="Franklin Gothic Book"/>
        <family val="2"/>
        <scheme val="none"/>
      </font>
      <fill>
        <patternFill patternType="none">
          <fgColor indexed="64"/>
          <bgColor indexed="65"/>
        </patternFill>
      </fill>
      <alignment horizontal="left" vertical="center" textRotation="0" wrapText="0" indent="0" justifyLastLine="0" shrinkToFit="0" readingOrder="0"/>
    </dxf>
    <dxf>
      <font>
        <strike val="0"/>
        <outline val="0"/>
        <shadow val="0"/>
        <vertAlign val="baseline"/>
        <sz val="11"/>
        <name val="Franklin Gothic Book"/>
        <family val="2"/>
        <scheme val="none"/>
      </font>
    </dxf>
    <dxf>
      <font>
        <b val="0"/>
        <i/>
        <strike val="0"/>
        <condense val="0"/>
        <extend val="0"/>
        <outline val="0"/>
        <shadow val="0"/>
        <u val="none"/>
        <vertAlign val="baseline"/>
        <sz val="11"/>
        <color theme="1"/>
        <name val="Franklin Gothic Book"/>
        <family val="2"/>
        <scheme val="none"/>
      </font>
      <fill>
        <patternFill patternType="none">
          <fgColor indexed="64"/>
          <bgColor indexed="65"/>
        </patternFill>
      </fill>
      <alignment horizontal="left" vertical="center" textRotation="0" wrapText="0" indent="0" justifyLastLine="0" shrinkToFit="0" readingOrder="0"/>
    </dxf>
    <dxf>
      <font>
        <i val="0"/>
        <strike val="0"/>
        <outline val="0"/>
        <shadow val="0"/>
        <vertAlign val="baseline"/>
        <sz val="11"/>
        <name val="Franklin Gothic Book"/>
        <family val="2"/>
        <scheme val="none"/>
      </font>
      <fill>
        <patternFill patternType="none">
          <fgColor indexed="64"/>
          <bgColor auto="1"/>
        </patternFill>
      </fill>
    </dxf>
    <dxf>
      <border outline="0">
        <top style="medium">
          <color indexed="64"/>
        </top>
      </border>
    </dxf>
    <dxf>
      <font>
        <strike val="0"/>
        <outline val="0"/>
        <shadow val="0"/>
        <vertAlign val="baseline"/>
        <sz val="11"/>
        <name val="Franklin Gothic Book"/>
        <family val="2"/>
        <scheme val="none"/>
      </font>
    </dxf>
    <dxf>
      <font>
        <b val="0"/>
        <i val="0"/>
        <strike val="0"/>
        <condense val="0"/>
        <extend val="0"/>
        <outline val="0"/>
        <shadow val="0"/>
        <u val="none"/>
        <vertAlign val="baseline"/>
        <sz val="11"/>
        <color theme="1"/>
        <name val="Franklin Gothic Book"/>
        <family val="2"/>
        <scheme val="none"/>
      </font>
      <fill>
        <patternFill patternType="none">
          <fgColor indexed="64"/>
          <bgColor indexed="65"/>
        </patternFill>
      </fill>
      <alignment horizontal="left" vertical="center" textRotation="0" wrapText="0" indent="0" justifyLastLine="0" shrinkToFit="0" readingOrder="0"/>
    </dxf>
    <dxf>
      <font>
        <b val="0"/>
        <i/>
        <strike val="0"/>
        <condense val="0"/>
        <extend val="0"/>
        <outline val="0"/>
        <shadow val="0"/>
        <u val="none"/>
        <vertAlign val="baseline"/>
        <sz val="11"/>
        <color theme="1"/>
        <name val="Franklin Gothic Book"/>
        <family val="2"/>
        <scheme val="none"/>
      </font>
      <fill>
        <patternFill patternType="none">
          <fgColor indexed="64"/>
          <bgColor auto="1"/>
        </patternFill>
      </fill>
      <alignment horizontal="left" vertical="center" textRotation="0" wrapText="0" indent="0" justifyLastLine="0" shrinkToFit="0" readingOrder="0"/>
    </dxf>
    <dxf>
      <font>
        <b val="0"/>
        <i/>
        <strike val="0"/>
        <condense val="0"/>
        <extend val="0"/>
        <outline val="0"/>
        <shadow val="0"/>
        <u val="none"/>
        <vertAlign val="baseline"/>
        <sz val="11"/>
        <color rgb="FFFF0000"/>
        <name val="Franklin Gothic Book"/>
        <family val="2"/>
        <scheme val="none"/>
      </font>
      <numFmt numFmtId="165" formatCode="_ * #,##0_ ;_ * \-#,##0_ ;_ * &quot;-&quot;??_ ;_ @_ "/>
      <fill>
        <patternFill patternType="none">
          <fgColor indexed="64"/>
          <bgColor indexed="65"/>
        </patternFill>
      </fill>
      <alignment horizontal="left" vertical="center" textRotation="0" wrapText="0" indent="0" justifyLastLine="0" shrinkToFit="0" readingOrder="0"/>
    </dxf>
    <dxf>
      <font>
        <b val="0"/>
        <i/>
        <strike val="0"/>
        <condense val="0"/>
        <extend val="0"/>
        <outline val="0"/>
        <shadow val="0"/>
        <u val="none"/>
        <vertAlign val="baseline"/>
        <sz val="11"/>
        <color rgb="FFFF0000"/>
        <name val="Franklin Gothic Book"/>
        <family val="2"/>
        <scheme val="none"/>
      </font>
      <numFmt numFmtId="165" formatCode="_ * #,##0_ ;_ * \-#,##0_ ;_ * &quot;-&quot;??_ ;_ @_ "/>
      <fill>
        <patternFill patternType="none">
          <fgColor indexed="64"/>
          <bgColor indexed="65"/>
        </patternFill>
      </fill>
      <alignment horizontal="left" vertical="center" textRotation="0" wrapText="0" indent="0" justifyLastLine="0" shrinkToFit="0" readingOrder="0"/>
    </dxf>
    <dxf>
      <font>
        <b val="0"/>
        <i/>
        <strike val="0"/>
        <condense val="0"/>
        <extend val="0"/>
        <outline val="0"/>
        <shadow val="0"/>
        <u val="none"/>
        <vertAlign val="baseline"/>
        <sz val="11"/>
        <color theme="1"/>
        <name val="Franklin Gothic Book"/>
        <family val="2"/>
        <scheme val="none"/>
      </font>
      <numFmt numFmtId="165" formatCode="_ * #,##0_ ;_ * \-#,##0_ ;_ * &quot;-&quot;??_ ;_ @_ "/>
      <fill>
        <patternFill patternType="none">
          <fgColor indexed="64"/>
          <bgColor auto="1"/>
        </patternFill>
      </fill>
      <alignment horizontal="left" vertical="center" textRotation="0" wrapText="0" indent="0" justifyLastLine="0" shrinkToFit="0" readingOrder="0"/>
    </dxf>
    <dxf>
      <font>
        <b val="0"/>
        <i/>
        <strike val="0"/>
        <condense val="0"/>
        <extend val="0"/>
        <outline val="0"/>
        <shadow val="0"/>
        <u val="none"/>
        <vertAlign val="baseline"/>
        <sz val="11"/>
        <color theme="1"/>
        <name val="Franklin Gothic Book"/>
        <family val="2"/>
        <scheme val="none"/>
      </font>
      <numFmt numFmtId="165" formatCode="_ * #,##0_ ;_ * \-#,##0_ ;_ * &quot;-&quot;??_ ;_ @_ "/>
      <fill>
        <patternFill patternType="none">
          <fgColor indexed="64"/>
          <bgColor auto="1"/>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Franklin Gothic Book"/>
        <family val="2"/>
        <scheme val="none"/>
      </font>
      <fill>
        <patternFill patternType="none">
          <fgColor indexed="64"/>
          <bgColor auto="1"/>
        </patternFill>
      </fill>
      <alignment horizontal="left" vertical="center" textRotation="0" wrapText="0" indent="0" justifyLastLine="0" shrinkToFit="0" readingOrder="0"/>
    </dxf>
    <dxf>
      <font>
        <b val="0"/>
        <i/>
        <strike val="0"/>
        <condense val="0"/>
        <extend val="0"/>
        <outline val="0"/>
        <shadow val="0"/>
        <u val="none"/>
        <vertAlign val="baseline"/>
        <sz val="11"/>
        <color theme="1"/>
        <name val="Franklin Gothic Book"/>
        <family val="2"/>
        <scheme val="none"/>
      </font>
      <fill>
        <patternFill patternType="none">
          <fgColor indexed="64"/>
          <bgColor indexed="65"/>
        </patternFill>
      </fill>
      <alignment horizontal="left" vertical="center" textRotation="0" wrapText="0" indent="0" justifyLastLine="0" shrinkToFit="0" readingOrder="0"/>
    </dxf>
    <dxf>
      <font>
        <strike val="0"/>
        <outline val="0"/>
        <shadow val="0"/>
        <vertAlign val="baseline"/>
        <sz val="11"/>
        <name val="Franklin Gothic Book"/>
        <family val="2"/>
        <scheme val="none"/>
      </font>
    </dxf>
    <dxf>
      <font>
        <b val="0"/>
        <i/>
        <strike val="0"/>
        <condense val="0"/>
        <extend val="0"/>
        <outline val="0"/>
        <shadow val="0"/>
        <u val="none"/>
        <vertAlign val="baseline"/>
        <sz val="11"/>
        <color theme="1"/>
        <name val="Franklin Gothic Book"/>
        <family val="2"/>
        <scheme val="none"/>
      </font>
      <fill>
        <patternFill patternType="none">
          <fgColor indexed="64"/>
          <bgColor indexed="65"/>
        </patternFill>
      </fill>
      <alignment horizontal="left" vertical="center" textRotation="0" wrapText="0" indent="0" justifyLastLine="0" shrinkToFit="0" readingOrder="0"/>
    </dxf>
    <dxf>
      <font>
        <i/>
        <strike val="0"/>
        <outline val="0"/>
        <shadow val="0"/>
        <vertAlign val="baseline"/>
        <sz val="11"/>
        <name val="Franklin Gothic Book"/>
        <family val="2"/>
        <scheme val="none"/>
      </font>
    </dxf>
    <dxf>
      <border outline="0">
        <top style="medium">
          <color indexed="64"/>
        </top>
      </border>
    </dxf>
    <dxf>
      <font>
        <strike val="0"/>
        <outline val="0"/>
        <shadow val="0"/>
        <vertAlign val="baseline"/>
        <sz val="11"/>
        <name val="Franklin Gothic Book"/>
        <family val="2"/>
        <scheme val="none"/>
      </font>
    </dxf>
    <dxf>
      <font>
        <b val="0"/>
        <i val="0"/>
        <strike val="0"/>
        <condense val="0"/>
        <extend val="0"/>
        <outline val="0"/>
        <shadow val="0"/>
        <u val="none"/>
        <vertAlign val="baseline"/>
        <sz val="11"/>
        <color theme="1"/>
        <name val="Franklin Gothic Book"/>
        <family val="2"/>
        <scheme val="none"/>
      </font>
      <fill>
        <patternFill patternType="none">
          <fgColor indexed="64"/>
          <bgColor indexed="65"/>
        </patternFill>
      </fill>
      <alignment horizontal="left" vertical="center" textRotation="0" wrapText="0" indent="0" justifyLastLine="0" shrinkToFit="0" readingOrder="0"/>
    </dxf>
    <dxf>
      <border>
        <bottom style="thin">
          <color rgb="FF188FBB"/>
        </bottom>
      </border>
    </dxf>
    <dxf>
      <fill>
        <patternFill patternType="solid">
          <bgColor theme="2"/>
        </patternFill>
      </fill>
      <border>
        <bottom style="thin">
          <color rgb="FF188FBB"/>
        </bottom>
      </border>
    </dxf>
    <dxf>
      <font>
        <b/>
        <i val="0"/>
        <color theme="0"/>
      </font>
      <fill>
        <patternFill>
          <bgColor rgb="FF165B89"/>
        </patternFill>
      </fill>
      <border>
        <top style="thick">
          <color auto="1"/>
        </top>
        <bottom style="medium">
          <color rgb="FF188FBB"/>
        </bottom>
      </border>
    </dxf>
  </dxfs>
  <tableStyles count="1" defaultTableStyle="TableStyleMedium2" defaultPivotStyle="PivotStyleLight16">
    <tableStyle name="EITI Table" pivot="0" count="3" xr9:uid="{75225649-1FD3-452E-B344-3C5F7BA5401C}">
      <tableStyleElement type="headerRow" dxfId="64"/>
      <tableStyleElement type="firstRowStripe" dxfId="63"/>
      <tableStyleElement type="secondRowStripe" dxfId="62"/>
    </tableStyle>
  </tableStyles>
  <colors>
    <mruColors>
      <color rgb="FFF7A516"/>
      <color rgb="FFFF7700"/>
      <color rgb="FFFF7F0E"/>
      <color rgb="FFFF79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purl.oclc.org/ooxml/officeDocument/relationships/worksheet" Target="worksheets/sheet8.xml"/><Relationship Id="rId13" Type="http://purl.oclc.org/ooxml/officeDocument/relationships/worksheet" Target="worksheets/sheet13.xml"/><Relationship Id="rId18" Type="http://purl.oclc.org/ooxml/officeDocument/relationships/worksheet" Target="worksheets/sheet18.xml"/><Relationship Id="rId26" Type="http://purl.oclc.org/ooxml/officeDocument/relationships/worksheet" Target="worksheets/sheet26.xml"/><Relationship Id="rId39" Type="http://purl.oclc.org/ooxml/officeDocument/relationships/customXml" Target="../customXml/item2.xml"/><Relationship Id="rId3" Type="http://purl.oclc.org/ooxml/officeDocument/relationships/worksheet" Target="worksheets/sheet3.xml"/><Relationship Id="rId21" Type="http://purl.oclc.org/ooxml/officeDocument/relationships/worksheet" Target="worksheets/sheet21.xml"/><Relationship Id="rId34" Type="http://purl.oclc.org/ooxml/officeDocument/relationships/styles" Target="styles.xml"/><Relationship Id="rId7" Type="http://purl.oclc.org/ooxml/officeDocument/relationships/worksheet" Target="worksheets/sheet7.xml"/><Relationship Id="rId12" Type="http://purl.oclc.org/ooxml/officeDocument/relationships/worksheet" Target="worksheets/sheet12.xml"/><Relationship Id="rId17" Type="http://purl.oclc.org/ooxml/officeDocument/relationships/worksheet" Target="worksheets/sheet17.xml"/><Relationship Id="rId25" Type="http://purl.oclc.org/ooxml/officeDocument/relationships/worksheet" Target="worksheets/sheet25.xml"/><Relationship Id="rId33" Type="http://purl.oclc.org/ooxml/officeDocument/relationships/theme" Target="theme/theme1.xml"/><Relationship Id="rId38" Type="http://purl.oclc.org/ooxml/officeDocument/relationships/customXml" Target="../customXml/item1.xml"/><Relationship Id="rId2" Type="http://purl.oclc.org/ooxml/officeDocument/relationships/worksheet" Target="worksheets/sheet2.xml"/><Relationship Id="rId16" Type="http://purl.oclc.org/ooxml/officeDocument/relationships/worksheet" Target="worksheets/sheet16.xml"/><Relationship Id="rId20" Type="http://purl.oclc.org/ooxml/officeDocument/relationships/worksheet" Target="worksheets/sheet20.xml"/><Relationship Id="rId29" Type="http://purl.oclc.org/ooxml/officeDocument/relationships/worksheet" Target="worksheets/sheet29.xml"/><Relationship Id="rId1" Type="http://purl.oclc.org/ooxml/officeDocument/relationships/worksheet" Target="worksheets/sheet1.xml"/><Relationship Id="rId6" Type="http://purl.oclc.org/ooxml/officeDocument/relationships/worksheet" Target="worksheets/sheet6.xml"/><Relationship Id="rId11" Type="http://purl.oclc.org/ooxml/officeDocument/relationships/worksheet" Target="worksheets/sheet11.xml"/><Relationship Id="rId24" Type="http://purl.oclc.org/ooxml/officeDocument/relationships/worksheet" Target="worksheets/sheet24.xml"/><Relationship Id="rId32" Type="http://purl.oclc.org/ooxml/officeDocument/relationships/externalLink" Target="externalLinks/externalLink2.xml"/><Relationship Id="rId37" Type="http://purl.oclc.org/ooxml/officeDocument/relationships/calcChain" Target="calcChain.xml"/><Relationship Id="rId40" Type="http://purl.oclc.org/ooxml/officeDocument/relationships/customXml" Target="../customXml/item3.xml"/><Relationship Id="rId5" Type="http://purl.oclc.org/ooxml/officeDocument/relationships/worksheet" Target="worksheets/sheet5.xml"/><Relationship Id="rId15" Type="http://purl.oclc.org/ooxml/officeDocument/relationships/worksheet" Target="worksheets/sheet15.xml"/><Relationship Id="rId23" Type="http://purl.oclc.org/ooxml/officeDocument/relationships/worksheet" Target="worksheets/sheet23.xml"/><Relationship Id="rId28" Type="http://purl.oclc.org/ooxml/officeDocument/relationships/worksheet" Target="worksheets/sheet28.xml"/><Relationship Id="rId36" Type="http://schemas.microsoft.com/office/2017/10/relationships/person" Target="persons/person.xml"/><Relationship Id="rId10" Type="http://purl.oclc.org/ooxml/officeDocument/relationships/worksheet" Target="worksheets/sheet10.xml"/><Relationship Id="rId19" Type="http://purl.oclc.org/ooxml/officeDocument/relationships/worksheet" Target="worksheets/sheet19.xml"/><Relationship Id="rId31" Type="http://purl.oclc.org/ooxml/officeDocument/relationships/externalLink" Target="externalLinks/externalLink1.xml"/><Relationship Id="rId4" Type="http://purl.oclc.org/ooxml/officeDocument/relationships/worksheet" Target="worksheets/sheet4.xml"/><Relationship Id="rId9" Type="http://purl.oclc.org/ooxml/officeDocument/relationships/worksheet" Target="worksheets/sheet9.xml"/><Relationship Id="rId14" Type="http://purl.oclc.org/ooxml/officeDocument/relationships/worksheet" Target="worksheets/sheet14.xml"/><Relationship Id="rId22" Type="http://purl.oclc.org/ooxml/officeDocument/relationships/worksheet" Target="worksheets/sheet22.xml"/><Relationship Id="rId27" Type="http://purl.oclc.org/ooxml/officeDocument/relationships/worksheet" Target="worksheets/sheet27.xml"/><Relationship Id="rId30" Type="http://purl.oclc.org/ooxml/officeDocument/relationships/worksheet" Target="worksheets/sheet30.xml"/><Relationship Id="rId35" Type="http://purl.oclc.org/ooxml/officeDocument/relationships/sharedStrings" Target="sharedStrings.xml"/></Relationships>
</file>

<file path=xl/drawings/_rels/drawing1.xml.rels><?xml version="1.0" encoding="UTF-8" standalone="yes"?>
<Relationships xmlns="http://schemas.openxmlformats.org/package/2006/relationships"><Relationship Id="rId1" Type="http://purl.oclc.org/ooxml/officeDocument/relationships/image" Target="../media/image1.png"/></Relationships>
</file>

<file path=xl/drawings/_rels/drawing8.xml.rels><?xml version="1.0" encoding="UTF-8" standalone="yes"?>
<Relationships xmlns="http://schemas.openxmlformats.org/package/2006/relationships"><Relationship Id="rId1" Type="http://purl.oclc.org/ooxml/officeDocument/relationships/image" Target="../media/image2.emf"/></Relationships>
</file>

<file path=xl/drawings/_rels/drawing10.xml.rels><?xml version="1.0" encoding="UTF-8" standalone="yes"?>
<Relationships xmlns="http://schemas.openxmlformats.org/package/2006/relationships"><Relationship Id="rId1" Type="http://purl.oclc.org/ooxml/officeDocument/relationships/image" Target="../media/image3.png"/></Relationships>
</file>

<file path=xl/drawings/_rels/drawing11.xml.rels><?xml version="1.0" encoding="UTF-8" standalone="yes"?>
<Relationships xmlns="http://schemas.openxmlformats.org/package/2006/relationships"><Relationship Id="rId1" Type="http://purl.oclc.org/ooxml/officeDocument/relationships/image" Target="../media/image3.png"/></Relationships>
</file>

<file path=xl/drawings/_rels/drawing12.xml.rels><?xml version="1.0" encoding="UTF-8" standalone="yes"?>
<Relationships xmlns="http://schemas.openxmlformats.org/package/2006/relationships"><Relationship Id="rId1" Type="http://purl.oclc.org/ooxml/officeDocument/relationships/image" Target="../media/image3.png"/></Relationships>
</file>

<file path=xl/drawings/_rels/vmlDrawing8.vml.rels><?xml version="1.0" encoding="UTF-8" standalone="yes"?>
<Relationships xmlns="http://schemas.openxmlformats.org/package/2006/relationships"><Relationship Id="rId1" Type="http://purl.oclc.org/ooxml/officeDocument/relationships/image" Target="../media/image4.png"/></Relationships>
</file>

<file path=xl/drawings/_rels/vmlDrawing9.vml.rels><?xml version="1.0" encoding="UTF-8" standalone="yes"?>
<Relationships xmlns="http://schemas.openxmlformats.org/package/2006/relationships"><Relationship Id="rId1" Type="http://purl.oclc.org/ooxml/officeDocument/relationships/image" Target="../media/image4.png"/></Relationships>
</file>

<file path=xl/drawings/_rels/vmlDrawing10.vml.rels><?xml version="1.0" encoding="UTF-8" standalone="yes"?>
<Relationships xmlns="http://schemas.openxmlformats.org/package/2006/relationships"><Relationship Id="rId1" Type="http://purl.oclc.org/ooxml/officeDocument/relationships/image" Target="../media/image4.png"/></Relationships>
</file>

<file path=xl/drawings/drawing1.xml><?xml version="1.0" encoding="utf-8"?>
<xdr:wsDr xmlns:xdr="http://purl.oclc.org/ooxml/drawingml/spreadsheetDrawing" xmlns:a="http://purl.oclc.org/ooxml/drawingml/main">
  <xdr:twoCellAnchor editAs="oneCell">
    <xdr:from>
      <xdr:col>1</xdr:col>
      <xdr:colOff>0</xdr:colOff>
      <xdr:row>0</xdr:row>
      <xdr:rowOff>0</xdr:rowOff>
    </xdr:from>
    <xdr:to>
      <xdr:col>2</xdr:col>
      <xdr:colOff>1736679</xdr:colOff>
      <xdr:row>5</xdr:row>
      <xdr:rowOff>35615</xdr:rowOff>
    </xdr:to>
    <xdr:pic>
      <xdr:nvPicPr>
        <xdr:cNvPr id="2" name="Picture 1" descr="https://eiti.org/sites/default/files/styles/img-narrow/public/inline/logo_gradient_-_under.png?itok=F8fw0Tyz">
          <a:extLst>
            <a:ext uri="{FF2B5EF4-FFF2-40B4-BE49-F238E27FC236}">
              <a16:creationId xmlns:a16="http://schemas.microsoft.com/office/drawing/2014/main" id="{AA1D8EAF-9C9C-074F-A03B-F5FDC9585C01}"/>
            </a:ext>
          </a:extLst>
        </xdr:cNvPr>
        <xdr:cNvPicPr>
          <a:picLocks noChangeAspect="1" noChangeArrowheads="1"/>
        </xdr:cNvPicPr>
      </xdr:nvPicPr>
      <xdr:blipFill rotWithShape="1">
        <a:blip xmlns:r="http://purl.oclc.org/ooxml/officeDocument/relationships" r:embed="rId1">
          <a:extLst>
            <a:ext uri="{28A0092B-C50C-407E-A947-70E740481C1C}">
              <a14:useLocalDpi xmlns:a14="http://schemas.microsoft.com/office/drawing/2010/main" val="0"/>
            </a:ext>
          </a:extLst>
        </a:blip>
        <a:srcRect l="7.248%" t="7.983%" b="5.883%"/>
        <a:stretch/>
      </xdr:blipFill>
      <xdr:spPr bwMode="auto">
        <a:xfrm>
          <a:off x="304800" y="0"/>
          <a:ext cx="1736679" cy="937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7</xdr:row>
      <xdr:rowOff>0</xdr:rowOff>
    </xdr:from>
    <xdr:to>
      <xdr:col>7</xdr:col>
      <xdr:colOff>0</xdr:colOff>
      <xdr:row>8</xdr:row>
      <xdr:rowOff>568</xdr:rowOff>
    </xdr:to>
    <xdr:grpSp>
      <xdr:nvGrpSpPr>
        <xdr:cNvPr id="3" name="Group 2">
          <a:extLst>
            <a:ext uri="{FF2B5EF4-FFF2-40B4-BE49-F238E27FC236}">
              <a16:creationId xmlns:a16="http://schemas.microsoft.com/office/drawing/2014/main" id="{4755E0EC-DD37-B145-A419-739A32226850}"/>
            </a:ext>
          </a:extLst>
        </xdr:cNvPr>
        <xdr:cNvGrpSpPr>
          <a:grpSpLocks/>
        </xdr:cNvGrpSpPr>
      </xdr:nvGrpSpPr>
      <xdr:grpSpPr bwMode="auto">
        <a:xfrm>
          <a:off x="304800" y="1210733"/>
          <a:ext cx="14393333" cy="42902"/>
          <a:chOff x="1134" y="1904"/>
          <a:chExt cx="9546" cy="181"/>
        </a:xfrm>
      </xdr:grpSpPr>
      <xdr:sp macro="" textlink="">
        <xdr:nvSpPr>
          <xdr:cNvPr id="4" name="Rectangle 3">
            <a:extLst>
              <a:ext uri="{FF2B5EF4-FFF2-40B4-BE49-F238E27FC236}">
                <a16:creationId xmlns:a16="http://schemas.microsoft.com/office/drawing/2014/main" id="{8B39DAD8-A429-C646-B377-E0315B2757FE}"/>
              </a:ext>
            </a:extLst>
          </xdr:cNvPr>
          <xdr:cNvSpPr>
            <a:spLocks/>
          </xdr:cNvSpPr>
        </xdr:nvSpPr>
        <xdr:spPr bwMode="auto">
          <a:xfrm>
            <a:off x="1134" y="1904"/>
            <a:ext cx="321" cy="181"/>
          </a:xfrm>
          <a:prstGeom prst="rect">
            <a:avLst/>
          </a:prstGeom>
          <a:solidFill>
            <a:srgbClr val="31AED6"/>
          </a:solidFill>
          <a:ln>
            <a:noFill/>
          </a:ln>
          <a:effectLst/>
          <a:extLst>
            <a:ext uri="{91240B29-F687-4F45-9708-019B960494DF}">
              <a14:hiddenLine xmlns:a14="http://schemas.microsoft.com/office/drawing/2010/main" w="9525">
                <a:solidFill>
                  <a:srgbClr val="4A7EBB"/>
                </a:solidFill>
                <a:miter lim="800%"/>
                <a:headEnd/>
                <a:tailEnd/>
              </a14:hiddenLine>
            </a:ext>
            <a:ext uri="{AF507438-7753-43E0-B8FC-AC1667EBCBE1}">
              <a14:hiddenEffects xmlns:a14="http://schemas.microsoft.com/office/drawing/2010/main">
                <a:effectLst>
                  <a:outerShdw blurRad="40000" dist="23000" dir="5400000" rotWithShape="0">
                    <a:srgbClr val="808080">
                      <a:alpha val="34.999%"/>
                    </a:srgbClr>
                  </a:outerShdw>
                </a:effectLst>
              </a14:hiddenEffects>
            </a:ext>
          </a:extLst>
        </xdr:spPr>
        <xdr:txBody>
          <a:bodyPr rot="0" vert="horz" wrap="square" lIns="91440" tIns="45720" rIns="91440" bIns="45720" anchor="ctr" anchorCtr="0" upright="1">
            <a:noAutofit/>
          </a:bodyPr>
          <a:lstStyle/>
          <a:p>
            <a:endParaRPr lang="en-GB"/>
          </a:p>
        </xdr:txBody>
      </xdr:sp>
      <xdr:sp macro="" textlink="">
        <xdr:nvSpPr>
          <xdr:cNvPr id="5" name="Rectangle 4">
            <a:extLst>
              <a:ext uri="{FF2B5EF4-FFF2-40B4-BE49-F238E27FC236}">
                <a16:creationId xmlns:a16="http://schemas.microsoft.com/office/drawing/2014/main" id="{A756E22C-373B-7A43-B8C3-272B3F02AB90}"/>
              </a:ext>
            </a:extLst>
          </xdr:cNvPr>
          <xdr:cNvSpPr>
            <a:spLocks/>
          </xdr:cNvSpPr>
        </xdr:nvSpPr>
        <xdr:spPr bwMode="auto">
          <a:xfrm>
            <a:off x="1564" y="1904"/>
            <a:ext cx="121" cy="181"/>
          </a:xfrm>
          <a:prstGeom prst="rect">
            <a:avLst/>
          </a:prstGeom>
          <a:solidFill>
            <a:srgbClr val="31AED6"/>
          </a:solidFill>
          <a:ln>
            <a:noFill/>
          </a:ln>
          <a:effectLst/>
          <a:extLst>
            <a:ext uri="{91240B29-F687-4F45-9708-019B960494DF}">
              <a14:hiddenLine xmlns:a14="http://schemas.microsoft.com/office/drawing/2010/main" w="9525">
                <a:solidFill>
                  <a:srgbClr val="4A7EBB"/>
                </a:solidFill>
                <a:miter lim="800%"/>
                <a:headEnd/>
                <a:tailEnd/>
              </a14:hiddenLine>
            </a:ext>
            <a:ext uri="{AF507438-7753-43E0-B8FC-AC1667EBCBE1}">
              <a14:hiddenEffects xmlns:a14="http://schemas.microsoft.com/office/drawing/2010/main">
                <a:effectLst>
                  <a:outerShdw blurRad="40000" dist="23000" dir="5400000" rotWithShape="0">
                    <a:srgbClr val="808080">
                      <a:alpha val="34.999%"/>
                    </a:srgbClr>
                  </a:outerShdw>
                </a:effectLst>
              </a14:hiddenEffects>
            </a:ext>
          </a:extLst>
        </xdr:spPr>
        <xdr:txBody>
          <a:bodyPr rot="0" vert="horz" wrap="square" lIns="91440" tIns="45720" rIns="91440" bIns="45720" anchor="ctr" anchorCtr="0" upright="1">
            <a:noAutofit/>
          </a:bodyPr>
          <a:lstStyle/>
          <a:p>
            <a:endParaRPr lang="en-GB"/>
          </a:p>
        </xdr:txBody>
      </xdr:sp>
      <xdr:sp macro="" textlink="">
        <xdr:nvSpPr>
          <xdr:cNvPr id="6" name="Rectangle 5">
            <a:extLst>
              <a:ext uri="{FF2B5EF4-FFF2-40B4-BE49-F238E27FC236}">
                <a16:creationId xmlns:a16="http://schemas.microsoft.com/office/drawing/2014/main" id="{54C5A559-A0CB-A14C-BBC7-367F9BB2751E}"/>
              </a:ext>
            </a:extLst>
          </xdr:cNvPr>
          <xdr:cNvSpPr>
            <a:spLocks/>
          </xdr:cNvSpPr>
        </xdr:nvSpPr>
        <xdr:spPr bwMode="auto">
          <a:xfrm>
            <a:off x="1682" y="1904"/>
            <a:ext cx="213" cy="181"/>
          </a:xfrm>
          <a:prstGeom prst="rect">
            <a:avLst/>
          </a:prstGeom>
          <a:solidFill>
            <a:srgbClr val="184065"/>
          </a:solidFill>
          <a:ln>
            <a:noFill/>
          </a:ln>
          <a:effectLst/>
          <a:extLst>
            <a:ext uri="{91240B29-F687-4F45-9708-019B960494DF}">
              <a14:hiddenLine xmlns:a14="http://schemas.microsoft.com/office/drawing/2010/main" w="9525">
                <a:solidFill>
                  <a:srgbClr val="4A7EBB"/>
                </a:solidFill>
                <a:miter lim="800%"/>
                <a:headEnd/>
                <a:tailEnd/>
              </a14:hiddenLine>
            </a:ext>
            <a:ext uri="{AF507438-7753-43E0-B8FC-AC1667EBCBE1}">
              <a14:hiddenEffects xmlns:a14="http://schemas.microsoft.com/office/drawing/2010/main">
                <a:effectLst>
                  <a:outerShdw blurRad="40000" dist="23000" dir="5400000" rotWithShape="0">
                    <a:srgbClr val="808080">
                      <a:alpha val="34.999%"/>
                    </a:srgbClr>
                  </a:outerShdw>
                </a:effectLst>
              </a14:hiddenEffects>
            </a:ext>
          </a:extLst>
        </xdr:spPr>
        <xdr:txBody>
          <a:bodyPr rot="0" vert="horz" wrap="square" lIns="91440" tIns="45720" rIns="91440" bIns="45720" anchor="ctr" anchorCtr="0" upright="1">
            <a:noAutofit/>
          </a:bodyPr>
          <a:lstStyle/>
          <a:p>
            <a:endParaRPr lang="en-GB"/>
          </a:p>
        </xdr:txBody>
      </xdr:sp>
      <xdr:sp macro="" textlink="">
        <xdr:nvSpPr>
          <xdr:cNvPr id="7" name="Rectangle 6">
            <a:extLst>
              <a:ext uri="{FF2B5EF4-FFF2-40B4-BE49-F238E27FC236}">
                <a16:creationId xmlns:a16="http://schemas.microsoft.com/office/drawing/2014/main" id="{D6ED7CC0-3AF2-2A4C-A7AF-9950514FE2E9}"/>
              </a:ext>
            </a:extLst>
          </xdr:cNvPr>
          <xdr:cNvSpPr>
            <a:spLocks/>
          </xdr:cNvSpPr>
        </xdr:nvSpPr>
        <xdr:spPr bwMode="auto">
          <a:xfrm>
            <a:off x="1449" y="1904"/>
            <a:ext cx="121" cy="181"/>
          </a:xfrm>
          <a:prstGeom prst="rect">
            <a:avLst/>
          </a:prstGeom>
          <a:solidFill>
            <a:srgbClr val="184065"/>
          </a:solidFill>
          <a:ln>
            <a:noFill/>
          </a:ln>
          <a:effectLst/>
          <a:extLst>
            <a:ext uri="{91240B29-F687-4F45-9708-019B960494DF}">
              <a14:hiddenLine xmlns:a14="http://schemas.microsoft.com/office/drawing/2010/main" w="9525">
                <a:solidFill>
                  <a:srgbClr val="4A7EBB"/>
                </a:solidFill>
                <a:miter lim="800%"/>
                <a:headEnd/>
                <a:tailEnd/>
              </a14:hiddenLine>
            </a:ext>
            <a:ext uri="{AF507438-7753-43E0-B8FC-AC1667EBCBE1}">
              <a14:hiddenEffects xmlns:a14="http://schemas.microsoft.com/office/drawing/2010/main">
                <a:effectLst>
                  <a:outerShdw blurRad="40000" dist="23000" dir="5400000" rotWithShape="0">
                    <a:srgbClr val="808080">
                      <a:alpha val="34.999%"/>
                    </a:srgbClr>
                  </a:outerShdw>
                </a:effectLst>
              </a14:hiddenEffects>
            </a:ext>
          </a:extLst>
        </xdr:spPr>
        <xdr:txBody>
          <a:bodyPr rot="0" vert="horz" wrap="square" lIns="91440" tIns="45720" rIns="91440" bIns="45720" anchor="ctr" anchorCtr="0" upright="1">
            <a:noAutofit/>
          </a:bodyPr>
          <a:lstStyle/>
          <a:p>
            <a:endParaRPr lang="en-GB"/>
          </a:p>
        </xdr:txBody>
      </xdr:sp>
      <xdr:sp macro="" textlink="">
        <xdr:nvSpPr>
          <xdr:cNvPr id="8" name="Rectangle 7">
            <a:extLst>
              <a:ext uri="{FF2B5EF4-FFF2-40B4-BE49-F238E27FC236}">
                <a16:creationId xmlns:a16="http://schemas.microsoft.com/office/drawing/2014/main" id="{8EA79237-2D6D-4C42-88D0-C9E81EAE1D92}"/>
              </a:ext>
            </a:extLst>
          </xdr:cNvPr>
          <xdr:cNvSpPr>
            <a:spLocks/>
          </xdr:cNvSpPr>
        </xdr:nvSpPr>
        <xdr:spPr bwMode="auto">
          <a:xfrm>
            <a:off x="2006" y="1904"/>
            <a:ext cx="220" cy="181"/>
          </a:xfrm>
          <a:prstGeom prst="rect">
            <a:avLst/>
          </a:prstGeom>
          <a:solidFill>
            <a:srgbClr val="184065"/>
          </a:solidFill>
          <a:ln>
            <a:noFill/>
          </a:ln>
          <a:effectLst/>
          <a:extLst>
            <a:ext uri="{91240B29-F687-4F45-9708-019B960494DF}">
              <a14:hiddenLine xmlns:a14="http://schemas.microsoft.com/office/drawing/2010/main" w="9525">
                <a:solidFill>
                  <a:srgbClr val="4A7EBB"/>
                </a:solidFill>
                <a:miter lim="800%"/>
                <a:headEnd/>
                <a:tailEnd/>
              </a14:hiddenLine>
            </a:ext>
            <a:ext uri="{AF507438-7753-43E0-B8FC-AC1667EBCBE1}">
              <a14:hiddenEffects xmlns:a14="http://schemas.microsoft.com/office/drawing/2010/main">
                <a:effectLst>
                  <a:outerShdw blurRad="40000" dist="23000" dir="5400000" rotWithShape="0">
                    <a:srgbClr val="808080">
                      <a:alpha val="34.999%"/>
                    </a:srgbClr>
                  </a:outerShdw>
                </a:effectLst>
              </a14:hiddenEffects>
            </a:ext>
          </a:extLst>
        </xdr:spPr>
        <xdr:txBody>
          <a:bodyPr rot="0" vert="horz" wrap="square" lIns="91440" tIns="45720" rIns="91440" bIns="45720" anchor="ctr" anchorCtr="0" upright="1">
            <a:noAutofit/>
          </a:bodyPr>
          <a:lstStyle/>
          <a:p>
            <a:endParaRPr lang="en-GB"/>
          </a:p>
        </xdr:txBody>
      </xdr:sp>
      <xdr:sp macro="" textlink="">
        <xdr:nvSpPr>
          <xdr:cNvPr id="9" name="Rectangle 8">
            <a:extLst>
              <a:ext uri="{FF2B5EF4-FFF2-40B4-BE49-F238E27FC236}">
                <a16:creationId xmlns:a16="http://schemas.microsoft.com/office/drawing/2014/main" id="{3C672138-AD6A-8141-9FFF-3E70297417C4}"/>
              </a:ext>
            </a:extLst>
          </xdr:cNvPr>
          <xdr:cNvSpPr>
            <a:spLocks/>
          </xdr:cNvSpPr>
        </xdr:nvSpPr>
        <xdr:spPr bwMode="auto">
          <a:xfrm>
            <a:off x="1797" y="1904"/>
            <a:ext cx="310" cy="181"/>
          </a:xfrm>
          <a:prstGeom prst="rect">
            <a:avLst/>
          </a:prstGeom>
          <a:solidFill>
            <a:srgbClr val="31AED6"/>
          </a:solidFill>
          <a:ln>
            <a:noFill/>
          </a:ln>
          <a:effectLst/>
          <a:extLst>
            <a:ext uri="{91240B29-F687-4F45-9708-019B960494DF}">
              <a14:hiddenLine xmlns:a14="http://schemas.microsoft.com/office/drawing/2010/main" w="9525">
                <a:solidFill>
                  <a:srgbClr val="4A7EBB"/>
                </a:solidFill>
                <a:miter lim="800%"/>
                <a:headEnd/>
                <a:tailEnd/>
              </a14:hiddenLine>
            </a:ext>
            <a:ext uri="{AF507438-7753-43E0-B8FC-AC1667EBCBE1}">
              <a14:hiddenEffects xmlns:a14="http://schemas.microsoft.com/office/drawing/2010/main">
                <a:effectLst>
                  <a:outerShdw blurRad="40000" dist="23000" dir="5400000" rotWithShape="0">
                    <a:srgbClr val="808080">
                      <a:alpha val="34.999%"/>
                    </a:srgbClr>
                  </a:outerShdw>
                </a:effectLst>
              </a14:hiddenEffects>
            </a:ext>
          </a:extLst>
        </xdr:spPr>
        <xdr:txBody>
          <a:bodyPr rot="0" vert="horz" wrap="square" lIns="91440" tIns="45720" rIns="91440" bIns="45720" anchor="ctr" anchorCtr="0" upright="1">
            <a:noAutofit/>
          </a:bodyPr>
          <a:lstStyle/>
          <a:p>
            <a:endParaRPr lang="en-GB"/>
          </a:p>
        </xdr:txBody>
      </xdr:sp>
      <xdr:sp macro="" textlink="">
        <xdr:nvSpPr>
          <xdr:cNvPr id="10" name="Rectangle 9">
            <a:extLst>
              <a:ext uri="{FF2B5EF4-FFF2-40B4-BE49-F238E27FC236}">
                <a16:creationId xmlns:a16="http://schemas.microsoft.com/office/drawing/2014/main" id="{37F88558-0A11-E844-B9E2-2B37CF2DF12C}"/>
              </a:ext>
            </a:extLst>
          </xdr:cNvPr>
          <xdr:cNvSpPr>
            <a:spLocks/>
          </xdr:cNvSpPr>
        </xdr:nvSpPr>
        <xdr:spPr bwMode="auto">
          <a:xfrm>
            <a:off x="2331" y="1904"/>
            <a:ext cx="8349" cy="181"/>
          </a:xfrm>
          <a:prstGeom prst="rect">
            <a:avLst/>
          </a:prstGeom>
          <a:solidFill>
            <a:srgbClr val="184065"/>
          </a:solidFill>
          <a:ln>
            <a:noFill/>
          </a:ln>
          <a:effectLst/>
          <a:extLst>
            <a:ext uri="{91240B29-F687-4F45-9708-019B960494DF}">
              <a14:hiddenLine xmlns:a14="http://schemas.microsoft.com/office/drawing/2010/main" w="9525">
                <a:solidFill>
                  <a:srgbClr val="4A7EBB"/>
                </a:solidFill>
                <a:miter lim="800%"/>
                <a:headEnd/>
                <a:tailEnd/>
              </a14:hiddenLine>
            </a:ext>
            <a:ext uri="{AF507438-7753-43E0-B8FC-AC1667EBCBE1}">
              <a14:hiddenEffects xmlns:a14="http://schemas.microsoft.com/office/drawing/2010/main">
                <a:effectLst>
                  <a:outerShdw blurRad="40000" dist="23000" dir="5400000" rotWithShape="0">
                    <a:srgbClr val="808080">
                      <a:alpha val="34.999%"/>
                    </a:srgbClr>
                  </a:outerShdw>
                </a:effectLst>
              </a14:hiddenEffects>
            </a:ext>
          </a:extLst>
        </xdr:spPr>
        <xdr:txBody>
          <a:bodyPr rot="0" vert="horz" wrap="square" lIns="91440" tIns="45720" rIns="91440" bIns="45720" anchor="ctr" anchorCtr="0" upright="1">
            <a:noAutofit/>
          </a:bodyPr>
          <a:lstStyle/>
          <a:p>
            <a:endParaRPr lang="en-GB"/>
          </a:p>
        </xdr:txBody>
      </xdr:sp>
      <xdr:sp macro="" textlink="">
        <xdr:nvSpPr>
          <xdr:cNvPr id="11" name="Rectangle 10">
            <a:extLst>
              <a:ext uri="{FF2B5EF4-FFF2-40B4-BE49-F238E27FC236}">
                <a16:creationId xmlns:a16="http://schemas.microsoft.com/office/drawing/2014/main" id="{1CADB603-8A75-554F-8637-71EDF37CB22F}"/>
              </a:ext>
            </a:extLst>
          </xdr:cNvPr>
          <xdr:cNvSpPr>
            <a:spLocks/>
          </xdr:cNvSpPr>
        </xdr:nvSpPr>
        <xdr:spPr bwMode="auto">
          <a:xfrm>
            <a:off x="2226" y="1909"/>
            <a:ext cx="108" cy="176"/>
          </a:xfrm>
          <a:prstGeom prst="rect">
            <a:avLst/>
          </a:prstGeom>
          <a:solidFill>
            <a:srgbClr val="31AED6"/>
          </a:solidFill>
          <a:ln>
            <a:noFill/>
          </a:ln>
          <a:effectLst/>
          <a:extLst>
            <a:ext uri="{91240B29-F687-4F45-9708-019B960494DF}">
              <a14:hiddenLine xmlns:a14="http://schemas.microsoft.com/office/drawing/2010/main" w="9525">
                <a:solidFill>
                  <a:srgbClr val="4A7EBB"/>
                </a:solidFill>
                <a:miter lim="800%"/>
                <a:headEnd/>
                <a:tailEnd/>
              </a14:hiddenLine>
            </a:ext>
            <a:ext uri="{AF507438-7753-43E0-B8FC-AC1667EBCBE1}">
              <a14:hiddenEffects xmlns:a14="http://schemas.microsoft.com/office/drawing/2010/main">
                <a:effectLst>
                  <a:outerShdw blurRad="40000" dist="23000" dir="5400000" rotWithShape="0">
                    <a:srgbClr val="808080">
                      <a:alpha val="34.999%"/>
                    </a:srgbClr>
                  </a:outerShdw>
                </a:effectLst>
              </a14:hiddenEffects>
            </a:ext>
          </a:extLst>
        </xdr:spPr>
        <xdr:txBody>
          <a:bodyPr rot="0" vert="horz" wrap="square" lIns="91440" tIns="45720" rIns="91440" bIns="45720" anchor="ctr" anchorCtr="0" upright="1">
            <a:noAutofit/>
          </a:bodyPr>
          <a:lstStyle/>
          <a:p>
            <a:endParaRPr lang="en-GB"/>
          </a:p>
        </xdr:txBody>
      </xdr:sp>
    </xdr:grpSp>
    <xdr:clientData/>
  </xdr:twoCellAnchor>
</xdr:wsDr>
</file>

<file path=xl/drawings/drawing2.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5</xdr:col>
          <xdr:colOff>121920</xdr:colOff>
          <xdr:row>40</xdr:row>
          <xdr:rowOff>114300</xdr:rowOff>
        </xdr:from>
        <xdr:to>
          <xdr:col>6</xdr:col>
          <xdr:colOff>1264920</xdr:colOff>
          <xdr:row>44</xdr:row>
          <xdr:rowOff>0</xdr:rowOff>
        </xdr:to>
        <xdr:sp macro="" textlink="">
          <xdr:nvSpPr>
            <xdr:cNvPr id="3076" name="Comment 4" hidden="1">
              <a:extLst>
                <a:ext uri="{FF2B5EF4-FFF2-40B4-BE49-F238E27FC236}">
                  <a16:creationId xmlns:a16="http://schemas.microsoft.com/office/drawing/2014/main" id="{B6EAB528-BFE0-4438-9BC2-171200431D66}"/>
                </a:ext>
              </a:extLst>
            </xdr:cNvPr>
            <xdr:cNvSpPr txBox="1">
              <a:spLocks noChangeArrowheads="1"/>
            </xdr:cNvSpPr>
          </xdr:nvSpPr>
          <xdr:spPr bwMode="auto">
            <a:xfrm>
              <a:off x="9753600" y="8763000"/>
              <a:ext cx="1363980" cy="70866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sp>
        <xdr:clientData/>
      </xdr:twoCellAnchor>
    </mc:Fallback>
  </mc:AlternateContent>
  <mc:AlternateContent xmlns:mc="http://schemas.openxmlformats.org/markup-compatibility/2006">
    <mc:Choice xmlns:v="urn:schemas-microsoft-com:vml" Requires="v"/>
    <mc:Fallback>
      <xdr:twoCellAnchor editAs="absolute">
        <xdr:from>
          <xdr:col>5</xdr:col>
          <xdr:colOff>121920</xdr:colOff>
          <xdr:row>41</xdr:row>
          <xdr:rowOff>114300</xdr:rowOff>
        </xdr:from>
        <xdr:to>
          <xdr:col>6</xdr:col>
          <xdr:colOff>1264920</xdr:colOff>
          <xdr:row>45</xdr:row>
          <xdr:rowOff>0</xdr:rowOff>
        </xdr:to>
        <xdr:sp macro="" textlink="">
          <xdr:nvSpPr>
            <xdr:cNvPr id="3077" name="Comment 5" hidden="1">
              <a:extLst>
                <a:ext uri="{FF2B5EF4-FFF2-40B4-BE49-F238E27FC236}">
                  <a16:creationId xmlns:a16="http://schemas.microsoft.com/office/drawing/2014/main" id="{AD5EB5CA-15D7-4FC9-B93A-EE62B9932425}"/>
                </a:ext>
              </a:extLst>
            </xdr:cNvPr>
            <xdr:cNvSpPr txBox="1">
              <a:spLocks noChangeArrowheads="1"/>
            </xdr:cNvSpPr>
          </xdr:nvSpPr>
          <xdr:spPr bwMode="auto">
            <a:xfrm>
              <a:off x="9753600" y="8968740"/>
              <a:ext cx="1363980" cy="70866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sp>
        <xdr:clientData/>
      </xdr:twoCellAnchor>
    </mc:Fallback>
  </mc:AlternateContent>
</xdr:wsDr>
</file>

<file path=xl/drawings/drawing3.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15</xdr:col>
          <xdr:colOff>3131820</xdr:colOff>
          <xdr:row>14</xdr:row>
          <xdr:rowOff>38100</xdr:rowOff>
        </xdr:from>
        <xdr:to>
          <xdr:col>16</xdr:col>
          <xdr:colOff>121920</xdr:colOff>
          <xdr:row>15</xdr:row>
          <xdr:rowOff>457200</xdr:rowOff>
        </xdr:to>
        <xdr:sp macro="" textlink="">
          <xdr:nvSpPr>
            <xdr:cNvPr id="61441" name="Comment 1" hidden="1">
              <a:extLst>
                <a:ext uri="{FF2B5EF4-FFF2-40B4-BE49-F238E27FC236}">
                  <a16:creationId xmlns:a16="http://schemas.microsoft.com/office/drawing/2014/main" id="{C65225E0-6306-4DA7-9655-3CEC4A09349D}"/>
                </a:ext>
              </a:extLst>
            </xdr:cNvPr>
            <xdr:cNvSpPr txBox="1">
              <a:spLocks noChangeArrowheads="1"/>
            </xdr:cNvSpPr>
          </xdr:nvSpPr>
          <xdr:spPr bwMode="auto">
            <a:xfrm>
              <a:off x="28773120" y="6758940"/>
              <a:ext cx="1386840" cy="76962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sp>
        <xdr:clientData/>
      </xdr:twoCellAnchor>
    </mc:Fallback>
  </mc:AlternateContent>
  <mc:AlternateContent xmlns:mc="http://schemas.openxmlformats.org/markup-compatibility/2006">
    <mc:Choice xmlns:v="urn:schemas-microsoft-com:vml" Requires="v"/>
    <mc:Fallback>
      <xdr:twoCellAnchor editAs="absolute">
        <xdr:from>
          <xdr:col>15</xdr:col>
          <xdr:colOff>3131820</xdr:colOff>
          <xdr:row>20</xdr:row>
          <xdr:rowOff>228600</xdr:rowOff>
        </xdr:from>
        <xdr:to>
          <xdr:col>16</xdr:col>
          <xdr:colOff>121920</xdr:colOff>
          <xdr:row>21</xdr:row>
          <xdr:rowOff>624840</xdr:rowOff>
        </xdr:to>
        <xdr:sp macro="" textlink="">
          <xdr:nvSpPr>
            <xdr:cNvPr id="61442" name="Comment 2" hidden="1">
              <a:extLst>
                <a:ext uri="{FF2B5EF4-FFF2-40B4-BE49-F238E27FC236}">
                  <a16:creationId xmlns:a16="http://schemas.microsoft.com/office/drawing/2014/main" id="{C821079F-0ECC-4FA6-866A-54E82969EEDC}"/>
                </a:ext>
              </a:extLst>
            </xdr:cNvPr>
            <xdr:cNvSpPr txBox="1">
              <a:spLocks noChangeArrowheads="1"/>
            </xdr:cNvSpPr>
          </xdr:nvSpPr>
          <xdr:spPr bwMode="auto">
            <a:xfrm>
              <a:off x="28773120" y="14973300"/>
              <a:ext cx="1386840" cy="74676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sp>
        <xdr:clientData/>
      </xdr:twoCellAnchor>
    </mc:Fallback>
  </mc:AlternateContent>
</xdr:wsDr>
</file>

<file path=xl/drawings/drawing4.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4</xdr:col>
          <xdr:colOff>129540</xdr:colOff>
          <xdr:row>17</xdr:row>
          <xdr:rowOff>335280</xdr:rowOff>
        </xdr:from>
        <xdr:to>
          <xdr:col>5</xdr:col>
          <xdr:colOff>1257300</xdr:colOff>
          <xdr:row>17</xdr:row>
          <xdr:rowOff>1082040</xdr:rowOff>
        </xdr:to>
        <xdr:sp macro="" textlink="">
          <xdr:nvSpPr>
            <xdr:cNvPr id="11268" name="Comment 4" hidden="1">
              <a:extLst>
                <a:ext uri="{FF2B5EF4-FFF2-40B4-BE49-F238E27FC236}">
                  <a16:creationId xmlns:a16="http://schemas.microsoft.com/office/drawing/2014/main" id="{D1AAC39C-F2B4-47FE-A4D1-1202E1BF4B3A}"/>
                </a:ext>
              </a:extLst>
            </xdr:cNvPr>
            <xdr:cNvSpPr txBox="1">
              <a:spLocks noChangeArrowheads="1"/>
            </xdr:cNvSpPr>
          </xdr:nvSpPr>
          <xdr:spPr bwMode="auto">
            <a:xfrm>
              <a:off x="9448800" y="11430000"/>
              <a:ext cx="1386840" cy="74676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txBody>
            <a:bodyPr vertOverflow="clip" wrap="square" lIns="27432" tIns="27432" rIns="0" bIns="0" anchor="t" upright="1"/>
            <a:lstStyle/>
            <a:p>
              <a:pPr algn="l" rtl="0">
                <a:defRPr sz="1000"/>
              </a:pPr>
              <a:r>
                <a:rPr lang="en-AU" sz="1200" b="0" i="0" u="none" strike="noStrike" baseline="0%">
                  <a:solidFill>
                    <a:srgbClr val="000000"/>
                  </a:solidFill>
                  <a:latin typeface="Calibri"/>
                  <a:cs typeface="Calibri"/>
                </a:rPr>
                <a:t>Fidelma Jeka:</a:t>
              </a:r>
            </a:p>
            <a:p>
              <a:pPr algn="l" rtl="0">
                <a:defRPr sz="1000"/>
              </a:pPr>
              <a:r>
                <a:rPr lang="en-AU" sz="1200" b="0" i="0" u="none" strike="noStrike" baseline="0%">
                  <a:solidFill>
                    <a:srgbClr val="000000"/>
                  </a:solidFill>
                  <a:latin typeface="Calibri"/>
                  <a:cs typeface="Calibri"/>
                </a:rPr>
                <a:t>Recheck</a:t>
              </a:r>
            </a:p>
            <a:p>
              <a:pPr algn="l" rtl="0">
                <a:defRPr sz="1000"/>
              </a:pPr>
              <a:endParaRPr lang="en-AU" sz="1200" b="0" i="0" u="none" strike="noStrike" baseline="0%">
                <a:solidFill>
                  <a:srgbClr val="000000"/>
                </a:solidFill>
                <a:latin typeface="Calibri"/>
                <a:cs typeface="Calibri"/>
              </a:endParaRPr>
            </a:p>
          </xdr:txBody>
        </xdr:sp>
        <xdr:clientData/>
      </xdr:twoCellAnchor>
    </mc:Fallback>
  </mc:AlternateContent>
  <mc:AlternateContent xmlns:mc="http://schemas.openxmlformats.org/markup-compatibility/2006">
    <mc:Choice xmlns:v="urn:schemas-microsoft-com:vml" Requires="v"/>
    <mc:Fallback>
      <xdr:twoCellAnchor editAs="absolute">
        <xdr:from>
          <xdr:col>4</xdr:col>
          <xdr:colOff>129540</xdr:colOff>
          <xdr:row>15</xdr:row>
          <xdr:rowOff>236220</xdr:rowOff>
        </xdr:from>
        <xdr:to>
          <xdr:col>5</xdr:col>
          <xdr:colOff>1257300</xdr:colOff>
          <xdr:row>16</xdr:row>
          <xdr:rowOff>426720</xdr:rowOff>
        </xdr:to>
        <xdr:sp macro="" textlink="">
          <xdr:nvSpPr>
            <xdr:cNvPr id="11269" name="Comment 5" hidden="1">
              <a:extLst>
                <a:ext uri="{FF2B5EF4-FFF2-40B4-BE49-F238E27FC236}">
                  <a16:creationId xmlns:a16="http://schemas.microsoft.com/office/drawing/2014/main" id="{A6CC8FE9-7D87-471A-A1BD-5E94126414D4}"/>
                </a:ext>
              </a:extLst>
            </xdr:cNvPr>
            <xdr:cNvSpPr txBox="1">
              <a:spLocks noChangeArrowheads="1"/>
            </xdr:cNvSpPr>
          </xdr:nvSpPr>
          <xdr:spPr bwMode="auto">
            <a:xfrm>
              <a:off x="9448800" y="10134600"/>
              <a:ext cx="1386840" cy="75438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txBody>
            <a:bodyPr vertOverflow="clip" wrap="square" lIns="27432" tIns="27432" rIns="0" bIns="0" anchor="t" upright="1"/>
            <a:lstStyle/>
            <a:p>
              <a:pPr algn="l" rtl="0">
                <a:defRPr sz="1000"/>
              </a:pPr>
              <a:r>
                <a:rPr lang="en-AU" sz="1200" b="0" i="0" u="none" strike="noStrike" baseline="0%">
                  <a:solidFill>
                    <a:srgbClr val="000000"/>
                  </a:solidFill>
                  <a:latin typeface="Calibri"/>
                  <a:cs typeface="Calibri"/>
                </a:rPr>
                <a:t>Fidelma Jeka:</a:t>
              </a:r>
            </a:p>
            <a:p>
              <a:pPr algn="l" rtl="0">
                <a:defRPr sz="1000"/>
              </a:pPr>
              <a:r>
                <a:rPr lang="en-AU" sz="1200" b="0" i="0" u="none" strike="noStrike" baseline="0%">
                  <a:solidFill>
                    <a:srgbClr val="000000"/>
                  </a:solidFill>
                  <a:latin typeface="Calibri"/>
                  <a:cs typeface="Calibri"/>
                </a:rPr>
                <a:t>Recheck this on SOE Audited FS</a:t>
              </a:r>
            </a:p>
          </xdr:txBody>
        </xdr:sp>
        <xdr:clientData/>
      </xdr:twoCellAnchor>
    </mc:Fallback>
  </mc:AlternateContent>
</xdr:wsDr>
</file>

<file path=xl/drawings/drawing5.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16</xdr:col>
          <xdr:colOff>83820</xdr:colOff>
          <xdr:row>9</xdr:row>
          <xdr:rowOff>3055620</xdr:rowOff>
        </xdr:from>
        <xdr:to>
          <xdr:col>17</xdr:col>
          <xdr:colOff>1181100</xdr:colOff>
          <xdr:row>10</xdr:row>
          <xdr:rowOff>693420</xdr:rowOff>
        </xdr:to>
        <xdr:sp macro="" textlink="">
          <xdr:nvSpPr>
            <xdr:cNvPr id="86018" name="Comment 2" hidden="1">
              <a:extLst>
                <a:ext uri="{FF2B5EF4-FFF2-40B4-BE49-F238E27FC236}">
                  <a16:creationId xmlns:a16="http://schemas.microsoft.com/office/drawing/2014/main" id="{9A96DD8B-B507-4E26-8EB2-C1CF35535B1C}"/>
                </a:ext>
              </a:extLst>
            </xdr:cNvPr>
            <xdr:cNvSpPr txBox="1">
              <a:spLocks noChangeArrowheads="1"/>
            </xdr:cNvSpPr>
          </xdr:nvSpPr>
          <xdr:spPr bwMode="auto">
            <a:xfrm>
              <a:off x="29870400" y="8183880"/>
              <a:ext cx="1325880" cy="76962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sp>
        <xdr:clientData/>
      </xdr:twoCellAnchor>
    </mc:Fallback>
  </mc:AlternateContent>
</xdr:wsDr>
</file>

<file path=xl/drawings/drawing6.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6</xdr:col>
          <xdr:colOff>121920</xdr:colOff>
          <xdr:row>7</xdr:row>
          <xdr:rowOff>2133600</xdr:rowOff>
        </xdr:from>
        <xdr:to>
          <xdr:col>7</xdr:col>
          <xdr:colOff>1257300</xdr:colOff>
          <xdr:row>7</xdr:row>
          <xdr:rowOff>2857500</xdr:rowOff>
        </xdr:to>
        <xdr:sp macro="" textlink="">
          <xdr:nvSpPr>
            <xdr:cNvPr id="25602" name="Comment 2" hidden="1">
              <a:extLst>
                <a:ext uri="{FF2B5EF4-FFF2-40B4-BE49-F238E27FC236}">
                  <a16:creationId xmlns:a16="http://schemas.microsoft.com/office/drawing/2014/main" id="{5DCA5982-883D-492D-8CC6-0AFF33AC4179}"/>
                </a:ext>
              </a:extLst>
            </xdr:cNvPr>
            <xdr:cNvSpPr txBox="1">
              <a:spLocks noChangeArrowheads="1"/>
            </xdr:cNvSpPr>
          </xdr:nvSpPr>
          <xdr:spPr bwMode="auto">
            <a:xfrm>
              <a:off x="13121640" y="7231380"/>
              <a:ext cx="1363980" cy="72390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txBody>
            <a:bodyPr vertOverflow="clip" wrap="square" lIns="36576" tIns="22860" rIns="0" bIns="0" anchor="t" upright="1"/>
            <a:lstStyle/>
            <a:p>
              <a:pPr algn="l" rtl="0">
                <a:defRPr sz="1000"/>
              </a:pPr>
              <a:r>
                <a:rPr lang="en-AU" sz="900" b="1" i="0" u="none" strike="noStrike" baseline="0%">
                  <a:solidFill>
                    <a:srgbClr val="000000"/>
                  </a:solidFill>
                  <a:latin typeface="Tahoma"/>
                  <a:ea typeface="Tahoma"/>
                  <a:cs typeface="Tahoma"/>
                </a:rPr>
                <a:t>Rowina Belapuna:</a:t>
              </a:r>
              <a:endParaRPr lang="en-AU" sz="900" b="0" i="0" u="none" strike="noStrike" baseline="0%">
                <a:solidFill>
                  <a:srgbClr val="000000"/>
                </a:solidFill>
                <a:latin typeface="Tahoma"/>
                <a:ea typeface="Tahoma"/>
                <a:cs typeface="Tahoma"/>
              </a:endParaRPr>
            </a:p>
            <a:p>
              <a:pPr algn="l" rtl="0">
                <a:defRPr sz="1000"/>
              </a:pPr>
              <a:r>
                <a:rPr lang="en-AU" sz="900" b="0" i="0" u="none" strike="noStrike" baseline="0%">
                  <a:solidFill>
                    <a:srgbClr val="000000"/>
                  </a:solidFill>
                  <a:latin typeface="Tahoma"/>
                  <a:ea typeface="Tahoma"/>
                  <a:cs typeface="Tahoma"/>
                </a:rPr>
                <a:t>Insert the individual company website reference</a:t>
              </a:r>
            </a:p>
          </xdr:txBody>
        </xdr:sp>
        <xdr:clientData/>
      </xdr:twoCellAnchor>
    </mc:Fallback>
  </mc:AlternateContent>
</xdr:wsDr>
</file>

<file path=xl/drawings/drawing7.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5</xdr:col>
          <xdr:colOff>121920</xdr:colOff>
          <xdr:row>13</xdr:row>
          <xdr:rowOff>83820</xdr:rowOff>
        </xdr:from>
        <xdr:to>
          <xdr:col>5</xdr:col>
          <xdr:colOff>1493520</xdr:colOff>
          <xdr:row>17</xdr:row>
          <xdr:rowOff>45720</xdr:rowOff>
        </xdr:to>
        <xdr:sp macro="" textlink="">
          <xdr:nvSpPr>
            <xdr:cNvPr id="13313" name="_x0000_s-1" hidden="1">
              <a:extLst>
                <a:ext uri="{FF2B5EF4-FFF2-40B4-BE49-F238E27FC236}">
                  <a16:creationId xmlns:a16="http://schemas.microsoft.com/office/drawing/2014/main" id="{605A5C14-F26E-451D-95D0-FBDA5505C9D9}"/>
                </a:ext>
              </a:extLst>
            </xdr:cNvPr>
            <xdr:cNvSpPr txBox="1">
              <a:spLocks noChangeArrowheads="1"/>
            </xdr:cNvSpPr>
          </xdr:nvSpPr>
          <xdr:spPr bwMode="auto">
            <a:xfrm>
              <a:off x="10454640" y="2971800"/>
              <a:ext cx="1371600" cy="72390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txBody>
            <a:bodyPr vertOverflow="clip" wrap="square" lIns="27432" tIns="27432" rIns="0" bIns="0" anchor="t" upright="1"/>
            <a:lstStyle/>
            <a:p>
              <a:pPr algn="l" rtl="0">
                <a:defRPr sz="1000"/>
              </a:pPr>
              <a:r>
                <a:rPr lang="en-AU" sz="1200" b="0" i="0" u="none" strike="noStrike" baseline="0%">
                  <a:solidFill>
                    <a:srgbClr val="000000"/>
                  </a:solidFill>
                  <a:latin typeface="Calibri"/>
                  <a:cs typeface="Calibri"/>
                </a:rPr>
                <a:t>Fidelma Jeka:</a:t>
              </a:r>
            </a:p>
            <a:p>
              <a:pPr algn="l" rtl="0">
                <a:defRPr sz="1000"/>
              </a:pPr>
              <a:r>
                <a:rPr lang="en-AU" sz="1200" b="0" i="0" u="none" strike="noStrike" baseline="0%">
                  <a:solidFill>
                    <a:srgbClr val="000000"/>
                  </a:solidFill>
                  <a:latin typeface="Calibri"/>
                  <a:cs typeface="Calibri"/>
                </a:rPr>
                <a:t>Recheck and answer all in red</a:t>
              </a:r>
            </a:p>
          </xdr:txBody>
        </xdr:sp>
        <xdr:clientData/>
      </xdr:twoCellAnchor>
    </mc:Fallback>
  </mc:AlternateContent>
</xdr:wsDr>
</file>

<file path=xl/drawings/drawing8.xml><?xml version="1.0" encoding="utf-8"?>
<xdr:wsDr xmlns:xdr="http://purl.oclc.org/ooxml/drawingml/spreadsheetDrawing" xmlns:a="http://purl.oclc.org/ooxml/drawingml/main">
  <xdr:twoCellAnchor>
    <xdr:from>
      <xdr:col>1</xdr:col>
      <xdr:colOff>0</xdr:colOff>
      <xdr:row>0</xdr:row>
      <xdr:rowOff>0</xdr:rowOff>
    </xdr:from>
    <xdr:to>
      <xdr:col>14</xdr:col>
      <xdr:colOff>0</xdr:colOff>
      <xdr:row>0</xdr:row>
      <xdr:rowOff>0</xdr:rowOff>
    </xdr:to>
    <xdr:grpSp>
      <xdr:nvGrpSpPr>
        <xdr:cNvPr id="2" name="Group 1">
          <a:extLst>
            <a:ext uri="{FF2B5EF4-FFF2-40B4-BE49-F238E27FC236}">
              <a16:creationId xmlns:a16="http://schemas.microsoft.com/office/drawing/2014/main" id="{50CAFCD6-CF9F-6D45-97D7-CFBFF78A0120}"/>
            </a:ext>
          </a:extLst>
        </xdr:cNvPr>
        <xdr:cNvGrpSpPr>
          <a:grpSpLocks/>
        </xdr:cNvGrpSpPr>
      </xdr:nvGrpSpPr>
      <xdr:grpSpPr bwMode="auto">
        <a:xfrm>
          <a:off x="195943" y="0"/>
          <a:ext cx="23273657" cy="0"/>
          <a:chOff x="1133" y="1230"/>
          <a:chExt cx="8460" cy="208"/>
        </a:xfrm>
      </xdr:grpSpPr>
      <xdr:sp macro="" textlink="">
        <xdr:nvSpPr>
          <xdr:cNvPr id="3" name="Rektangel 2">
            <a:extLst>
              <a:ext uri="{FF2B5EF4-FFF2-40B4-BE49-F238E27FC236}">
                <a16:creationId xmlns:a16="http://schemas.microsoft.com/office/drawing/2014/main" id="{01DA8175-9957-EA49-8F67-D6B8AA0A5D3B}"/>
              </a:ext>
            </a:extLst>
          </xdr:cNvPr>
          <xdr:cNvSpPr>
            <a:spLocks noChangeArrowheads="1"/>
          </xdr:cNvSpPr>
        </xdr:nvSpPr>
        <xdr:spPr bwMode="auto">
          <a:xfrm>
            <a:off x="1133" y="1230"/>
            <a:ext cx="8460" cy="208"/>
          </a:xfrm>
          <a:prstGeom prst="rect">
            <a:avLst/>
          </a:prstGeom>
          <a:solidFill>
            <a:srgbClr val="0076AF"/>
          </a:solidFill>
          <a:ln>
            <a:noFill/>
          </a:ln>
          <a:extLst>
            <a:ext uri="{91240B29-F687-4f45-9708-019B960494DF}"/>
          </a:extLst>
        </xdr:spPr>
        <xdr:txBody>
          <a:bodyPr rot="0" vert="horz" wrap="square" lIns="91440" tIns="45720" rIns="91440" bIns="45720" anchor="ctr" anchorCtr="0" upright="1">
            <a:noAutofit/>
          </a:bodyPr>
          <a:lstStyle/>
          <a:p>
            <a:endParaRPr lang="en-GB"/>
          </a:p>
        </xdr:txBody>
      </xdr:sp>
      <xdr:sp macro="" textlink="">
        <xdr:nvSpPr>
          <xdr:cNvPr id="4" name="Rektangel 3">
            <a:extLst>
              <a:ext uri="{FF2B5EF4-FFF2-40B4-BE49-F238E27FC236}">
                <a16:creationId xmlns:a16="http://schemas.microsoft.com/office/drawing/2014/main" id="{D3367F73-4D6E-4848-92D0-22D214055E01}"/>
              </a:ext>
            </a:extLst>
          </xdr:cNvPr>
          <xdr:cNvSpPr>
            <a:spLocks noChangeArrowheads="1"/>
          </xdr:cNvSpPr>
        </xdr:nvSpPr>
        <xdr:spPr bwMode="auto">
          <a:xfrm>
            <a:off x="2298" y="1230"/>
            <a:ext cx="750" cy="208"/>
          </a:xfrm>
          <a:prstGeom prst="rect">
            <a:avLst/>
          </a:prstGeom>
          <a:solidFill>
            <a:srgbClr val="56ADD6"/>
          </a:solidFill>
          <a:ln>
            <a:noFill/>
          </a:ln>
          <a:extLst>
            <a:ext uri="{91240B29-F687-4f45-9708-019B960494DF}"/>
          </a:extLst>
        </xdr:spPr>
        <xdr:txBody>
          <a:bodyPr rot="0" vert="horz" wrap="square" lIns="91440" tIns="45720" rIns="91440" bIns="45720" anchor="ctr" anchorCtr="0" upright="1">
            <a:noAutofit/>
          </a:bodyPr>
          <a:lstStyle/>
          <a:p>
            <a:endParaRPr lang="en-GB"/>
          </a:p>
        </xdr:txBody>
      </xdr:sp>
    </xdr:grpSp>
    <xdr:clientData/>
  </xdr:twoCellAnchor>
  <xdr:twoCellAnchor editAs="oneCell">
    <xdr:from>
      <xdr:col>12</xdr:col>
      <xdr:colOff>8965</xdr:colOff>
      <xdr:row>27</xdr:row>
      <xdr:rowOff>212910</xdr:rowOff>
    </xdr:from>
    <xdr:to>
      <xdr:col>13</xdr:col>
      <xdr:colOff>5598183</xdr:colOff>
      <xdr:row>69</xdr:row>
      <xdr:rowOff>153662</xdr:rowOff>
    </xdr:to>
    <xdr:pic>
      <xdr:nvPicPr>
        <xdr:cNvPr id="5" name="Picture 4">
          <a:extLst>
            <a:ext uri="{FF2B5EF4-FFF2-40B4-BE49-F238E27FC236}">
              <a16:creationId xmlns:a16="http://schemas.microsoft.com/office/drawing/2014/main" id="{D08028D7-DB6E-7A4C-9748-FBF8D2B1AF47}"/>
            </a:ext>
          </a:extLst>
        </xdr:cNvPr>
        <xdr:cNvPicPr>
          <a:picLocks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13280465" y="4518210"/>
          <a:ext cx="7077635" cy="77904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8</xdr:col>
          <xdr:colOff>121920</xdr:colOff>
          <xdr:row>7</xdr:row>
          <xdr:rowOff>7620</xdr:rowOff>
        </xdr:from>
        <xdr:to>
          <xdr:col>9</xdr:col>
          <xdr:colOff>1257300</xdr:colOff>
          <xdr:row>8</xdr:row>
          <xdr:rowOff>350520</xdr:rowOff>
        </xdr:to>
        <xdr:sp macro="" textlink="">
          <xdr:nvSpPr>
            <xdr:cNvPr id="55297" name="Comment 1" hidden="1">
              <a:extLst>
                <a:ext uri="{FF2B5EF4-FFF2-40B4-BE49-F238E27FC236}">
                  <a16:creationId xmlns:a16="http://schemas.microsoft.com/office/drawing/2014/main" id="{24244443-F38E-4B96-9570-F7F7FC7EA93F}"/>
                </a:ext>
              </a:extLst>
            </xdr:cNvPr>
            <xdr:cNvSpPr txBox="1">
              <a:spLocks noChangeArrowheads="1"/>
            </xdr:cNvSpPr>
          </xdr:nvSpPr>
          <xdr:spPr bwMode="auto">
            <a:xfrm>
              <a:off x="12169140" y="3657600"/>
              <a:ext cx="1394460" cy="86868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txBody>
            <a:bodyPr vertOverflow="clip" wrap="square" lIns="36576" tIns="22860" rIns="0" bIns="0" anchor="t" upright="1"/>
            <a:lstStyle/>
            <a:p>
              <a:pPr algn="l" rtl="0">
                <a:defRPr sz="1000"/>
              </a:pPr>
              <a:r>
                <a:rPr lang="en-AU" sz="900" b="1" i="0" u="none" strike="noStrike" baseline="0%">
                  <a:solidFill>
                    <a:srgbClr val="000000"/>
                  </a:solidFill>
                  <a:latin typeface="Tahoma"/>
                  <a:ea typeface="Tahoma"/>
                  <a:cs typeface="Tahoma"/>
                </a:rPr>
                <a:t>Rowina Belapuna:</a:t>
              </a:r>
              <a:endParaRPr lang="en-AU" sz="900" b="0" i="0" u="none" strike="noStrike" baseline="0%">
                <a:solidFill>
                  <a:srgbClr val="000000"/>
                </a:solidFill>
                <a:latin typeface="Tahoma"/>
                <a:ea typeface="Tahoma"/>
                <a:cs typeface="Tahoma"/>
              </a:endParaRPr>
            </a:p>
            <a:p>
              <a:pPr algn="l" rtl="0">
                <a:defRPr sz="1000"/>
              </a:pPr>
              <a:r>
                <a:rPr lang="en-AU" sz="900" b="0" i="0" u="none" strike="noStrike" baseline="0%">
                  <a:solidFill>
                    <a:srgbClr val="000000"/>
                  </a:solidFill>
                  <a:latin typeface="Tahoma"/>
                  <a:ea typeface="Tahoma"/>
                  <a:cs typeface="Tahoma"/>
                </a:rPr>
                <a:t>Evidence </a:t>
              </a:r>
            </a:p>
          </xdr:txBody>
        </xdr:sp>
        <xdr:clientData/>
      </xdr:twoCellAnchor>
    </mc:Fallback>
  </mc:AlternateContent>
</xdr:wsDr>
</file>

<file path=xl/drawings/drawing10.xml><?xml version="1.0" encoding="utf-8"?>
<xdr:wsDr xmlns:xdr="http://purl.oclc.org/ooxml/drawingml/spreadsheetDrawing" xmlns:a="http://purl.oclc.org/ooxml/drawingml/main">
  <xdr:absoluteAnchor>
    <xdr:pos x="0" y="0"/>
    <xdr:ext cx="10058400" cy="10058400"/>
    <xdr:pic>
      <xdr:nvPicPr>
        <xdr:cNvPr id="2" name="CH">
          <a:extLst>
            <a:ext uri="{FF2B5EF4-FFF2-40B4-BE49-F238E27FC236}">
              <a16:creationId xmlns:a16="http://schemas.microsoft.com/office/drawing/2014/main" id="{E007AF85-F16D-4716-A627-719B79FE2A1E}"/>
            </a:ext>
          </a:extLst>
        </xdr:cNvPr>
        <xdr:cNvPicPr>
          <a:picLocks noRot="1"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0" y="0"/>
          <a:ext cx="10058400" cy="10058400"/>
        </a:xfrm>
        <a:prstGeom prst="rect">
          <a:avLst/>
        </a:prstGeom>
        <a:noFill/>
        <a:extLst>
          <a:ext uri="{909E8E84-426E-40DD-AFC4-6F175D3DCCD1}">
            <a14:hiddenFill xmlns:a14="http://schemas.microsoft.com/office/drawing/2010/main">
              <a:solidFill>
                <a:srgbClr val="FFFFFF"/>
              </a:solidFill>
            </a14:hiddenFill>
          </a:ext>
        </a:extLst>
      </xdr:spPr>
    </xdr:pic>
    <xdr:clientData/>
  </xdr:absoluteAnchor>
</xdr:wsDr>
</file>

<file path=xl/drawings/drawing11.xml><?xml version="1.0" encoding="utf-8"?>
<xdr:wsDr xmlns:xdr="http://purl.oclc.org/ooxml/drawingml/spreadsheetDrawing" xmlns:a="http://purl.oclc.org/ooxml/drawingml/main">
  <xdr:absoluteAnchor>
    <xdr:pos x="0" y="0"/>
    <xdr:ext cx="10058400" cy="10058400"/>
    <xdr:pic>
      <xdr:nvPicPr>
        <xdr:cNvPr id="2" name="CH">
          <a:extLst>
            <a:ext uri="{FF2B5EF4-FFF2-40B4-BE49-F238E27FC236}">
              <a16:creationId xmlns:a16="http://schemas.microsoft.com/office/drawing/2014/main" id="{B274F75B-DA19-4599-8B2F-DCEA7A0D2FFE}"/>
            </a:ext>
          </a:extLst>
        </xdr:cNvPr>
        <xdr:cNvPicPr>
          <a:picLocks noRot="1"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0" y="0"/>
          <a:ext cx="10058400" cy="10058400"/>
        </a:xfrm>
        <a:prstGeom prst="rect">
          <a:avLst/>
        </a:prstGeom>
        <a:noFill/>
        <a:extLst>
          <a:ext uri="{909E8E84-426E-40DD-AFC4-6F175D3DCCD1}">
            <a14:hiddenFill xmlns:a14="http://schemas.microsoft.com/office/drawing/2010/main">
              <a:solidFill>
                <a:srgbClr val="FFFFFF"/>
              </a:solidFill>
            </a14:hiddenFill>
          </a:ext>
        </a:extLst>
      </xdr:spPr>
    </xdr:pic>
    <xdr:clientData/>
  </xdr:absoluteAnchor>
</xdr:wsDr>
</file>

<file path=xl/drawings/drawing12.xml><?xml version="1.0" encoding="utf-8"?>
<xdr:wsDr xmlns:xdr="http://purl.oclc.org/ooxml/drawingml/spreadsheetDrawing" xmlns:a="http://purl.oclc.org/ooxml/drawingml/main">
  <xdr:absoluteAnchor>
    <xdr:pos x="0" y="0"/>
    <xdr:ext cx="10058400" cy="10058400"/>
    <xdr:pic>
      <xdr:nvPicPr>
        <xdr:cNvPr id="2" name="CH">
          <a:extLst>
            <a:ext uri="{FF2B5EF4-FFF2-40B4-BE49-F238E27FC236}">
              <a16:creationId xmlns:a16="http://schemas.microsoft.com/office/drawing/2014/main" id="{1270FAD9-7C04-4D3A-9766-E3468B25B823}"/>
            </a:ext>
          </a:extLst>
        </xdr:cNvPr>
        <xdr:cNvPicPr>
          <a:picLocks noRot="1" noChangeAspect="1" noChangeArrowheads="1"/>
        </xdr:cNvPicPr>
      </xdr:nvPicPr>
      <xdr:blipFill>
        <a:blip xmlns:r="http://purl.oclc.org/ooxml/officeDocument/relationships" r:embed="rId1">
          <a:extLst>
            <a:ext uri="{28A0092B-C50C-407E-A947-70E740481C1C}">
              <a14:useLocalDpi xmlns:a14="http://schemas.microsoft.com/office/drawing/2010/main" val="0"/>
            </a:ext>
          </a:extLst>
        </a:blip>
        <a:srcRect/>
        <a:stretch>
          <a:fillRect/>
        </a:stretch>
      </xdr:blipFill>
      <xdr:spPr bwMode="auto">
        <a:xfrm>
          <a:off x="0" y="0"/>
          <a:ext cx="10058400" cy="10058400"/>
        </a:xfrm>
        <a:prstGeom prst="rect">
          <a:avLst/>
        </a:prstGeom>
        <a:noFill/>
        <a:extLst>
          <a:ext uri="{909E8E84-426E-40DD-AFC4-6F175D3DCCD1}">
            <a14:hiddenFill xmlns:a14="http://schemas.microsoft.com/office/drawing/2010/main">
              <a:solidFill>
                <a:srgbClr val="FFFFFF"/>
              </a:solidFill>
            </a14:hiddenFill>
          </a:ext>
        </a:extLst>
      </xdr:spPr>
    </xdr:pic>
    <xdr:clientData/>
  </xdr:absoluteAnchor>
</xdr:wsDr>
</file>

<file path=xl/externalLinks/_rels/externalLink1.xml.rels><?xml version="1.0" encoding="UTF-8" standalone="yes"?>
<Relationships xmlns="http://schemas.openxmlformats.org/package/2006/relationships"><Relationship Id="rId1" Type="http://purl.oclc.org/ooxml/officeDocument/relationships/externalLinkPath" Target="https://extractives.sharepoint.com/Users/alexgordy/Downloads/en_eiti_summary_data_template_2.0_1%20(1).xlsx" TargetMode="External"/></Relationships>
</file>

<file path=xl/externalLinks/_rels/externalLink2.xml.rels><?xml version="1.0" encoding="UTF-8" standalone="yes"?>
<Relationships xmlns="http://schemas.openxmlformats.org/package/2006/relationships"><Relationship Id="rId1" Type="http://purl.oclc.org/ooxml/officeDocument/relationships/externalLinkPath" Target="https://extractives.sharepoint.com/Users/alexgordy/Downloads/en_eiti_summary_data_template_2.0_1.xlsx" TargetMode="External"/></Relationships>
</file>

<file path=xl/externalLinks/externalLink1.xml><?xml version="1.0" encoding="utf-8"?>
<externalLink xmlns="http://purl.oclc.org/ooxml/spreadsheetml/main" xmlns:mc="http://schemas.openxmlformats.org/markup-compatibility/2006" xmlns:x14="http://schemas.microsoft.com/office/spreadsheetml/2009/9/main" mc:Ignorable="x14">
  <externalBook xmlns:r="http://purl.oclc.org/ooxml/officeDocument/relationships" r:id="rId1">
    <sheetNames>
      <sheetName val="Introduction"/>
      <sheetName val="Part 1 - About"/>
      <sheetName val="Part 2 - Disclosure checklist"/>
      <sheetName val="Part 3 - Reporting entities"/>
      <sheetName val="Part 4 - Government revenues"/>
      <sheetName val="Part 5 - Company data"/>
      <sheetName val="Lists"/>
      <sheetName val="en_eiti_summary_data_template_2"/>
      <sheetName val="Listes"/>
    </sheetNames>
    <sheetDataSet>
      <sheetData sheetId="0" refreshError="1">
        <row r="4">
          <cell r="G4" t="str">
            <v>YYYY-MM-DD</v>
          </cell>
        </row>
      </sheetData>
      <sheetData sheetId="1" refreshError="1"/>
      <sheetData sheetId="2" refreshError="1"/>
      <sheetData sheetId="3" refreshError="1"/>
      <sheetData sheetId="4" refreshError="1"/>
      <sheetData sheetId="5" refreshError="1"/>
      <sheetData sheetId="6" refreshError="1">
        <row r="4">
          <cell r="I4" t="str">
            <v>Yes</v>
          </cell>
        </row>
        <row r="5">
          <cell r="I5" t="str">
            <v>Partially</v>
          </cell>
        </row>
      </sheetData>
      <sheetData sheetId="7" refreshError="1"/>
      <sheetData sheetId="8" refreshError="1"/>
    </sheetDataSet>
  </externalBook>
</externalLink>
</file>

<file path=xl/externalLinks/externalLink2.xml><?xml version="1.0" encoding="utf-8"?>
<externalLink xmlns="http://purl.oclc.org/ooxml/spreadsheetml/main" xmlns:mc="http://schemas.openxmlformats.org/markup-compatibility/2006" xmlns:x14="http://schemas.microsoft.com/office/spreadsheetml/2009/9/main" mc:Ignorable="x14">
  <externalBook xmlns:r="http://purl.oclc.org/ooxml/officeDocument/relationships" r:id="rId1">
    <sheetNames>
      <sheetName val="Introduction"/>
      <sheetName val="Part 1 - About"/>
      <sheetName val="Part 2 - Disclosure checklist"/>
      <sheetName val="Part 3 - Reporting entities"/>
      <sheetName val="Part 4 - Government revenues"/>
      <sheetName val="Part 5 - Company data"/>
      <sheetName val="Lists"/>
      <sheetName val="en_eiti_summary_data_template_2"/>
    </sheetNames>
    <sheetDataSet>
      <sheetData sheetId="0" refreshError="1"/>
      <sheetData sheetId="1" refreshError="1"/>
      <sheetData sheetId="2" refreshError="1"/>
      <sheetData sheetId="3" refreshError="1"/>
      <sheetData sheetId="4" refreshError="1"/>
      <sheetData sheetId="5" refreshError="1"/>
      <sheetData sheetId="6" refreshError="1">
        <row r="4">
          <cell r="K4" t="str">
            <v>Yes, systematically disclosed</v>
          </cell>
        </row>
        <row r="5">
          <cell r="K5" t="str">
            <v>Yes, through EITI reporting</v>
          </cell>
        </row>
        <row r="6">
          <cell r="K6" t="str">
            <v>Not applicable</v>
          </cell>
        </row>
      </sheetData>
      <sheetData sheetId="7" refreshError="1"/>
    </sheetDataSet>
  </externalBook>
</externalLink>
</file>

<file path=xl/persons/person.xml><?xml version="1.0" encoding="utf-8"?>
<personList xmlns="http://schemas.microsoft.com/office/spreadsheetml/2018/threadedcomments" xmlns:x="http://purl.oclc.org/ooxml/spreadsheetml/main">
  <person displayName="Fidelma Jeka" id="{87FD78EF-D37B-4D75-923E-CC1C9226127C}" userId="S::fidelma.jeka@pg.ey.com::6e8ebc91-9373-40e5-92bc-c0e1a797cc90" providerId="AD"/>
  <person displayName="Rowina Belapuna" id="{91D5B00F-E786-47F9-9034-1A3F5F4B358D}" userId="S::Rowina.Belapuna@pg.ey.com::8b63f3c4-cc02-4a8c-8eab-075640755456" providerId="AD"/>
</personList>
</file>

<file path=xl/tables/table1.xml><?xml version="1.0" encoding="utf-8"?>
<table xmlns="http://purl.oclc.org/ooxml/spreadsheetml/main" xmlns:mc="http://schemas.openxmlformats.org/markup-compatibility/2006" xmlns:xr="http://schemas.microsoft.com/office/spreadsheetml/2014/revision" xmlns:xr3="http://schemas.microsoft.com/office/spreadsheetml/2016/revision3" mc:Ignorable="xr xr3" id="1" xr:uid="{A158EDDA-71E7-D447-B717-F8CA943ABC15}" name="Companies" displayName="Companies" ref="B30:K89" totalsRowShown="0" headerRowDxfId="61" dataDxfId="60" tableBorderDxfId="59" headerRowCellStyle="Normal 2">
  <autoFilter ref="B30:K89" xr:uid="{29A02D02-B15A-4451-BC82-381511A5580C}"/>
  <tableColumns count="10">
    <tableColumn id="1" xr3:uid="{A31FD142-8561-0741-BC80-32059FBE23EA}" name="Full company name" dataDxfId="58"/>
    <tableColumn id="7" xr3:uid="{C6C61FFC-FB45-2747-8750-F2CAC9628B25}" name="Company type" dataDxfId="57" dataCellStyle="Normal 2"/>
    <tableColumn id="2" xr3:uid="{F3989A15-2A95-9648-9EC7-F574738DCF1E}" name="Company ID number" dataDxfId="56"/>
    <tableColumn id="5" xr3:uid="{DF04E1E9-F7E0-1643-AE30-80E5EB4AF1B6}" name="Sector" dataDxfId="55" dataCellStyle="Normal 2"/>
    <tableColumn id="3" xr3:uid="{32D7EDCF-7F18-0F43-BEAA-AAE714DC8152}" name="Commodities (comma-seperated)" dataDxfId="54" dataCellStyle="Normal 2"/>
    <tableColumn id="4" xr3:uid="{B4D61CDB-57E1-8E4F-8EF8-DDD94514783B}" name="Stock exchange listing or company website " dataDxfId="53"/>
    <tableColumn id="8" xr3:uid="{71E9BE69-1308-D942-B9D8-285BC15E33F3}" name="Audited financial statement (or balance sheet, cash flows, profit/loss statement if unavailable)" dataDxfId="52"/>
    <tableColumn id="9" xr3:uid="{2A981908-E097-421B-A6AA-3AC797FF2985}" name="Submitted reporting templates?" dataDxfId="51" dataCellStyle="Normal 2"/>
    <tableColumn id="10" xr3:uid="{B65FFEFF-7B5B-46BA-9324-08A036ABA3B3}" name="Adhered to MSG's quality assurances?" dataDxfId="50" dataCellStyle="Normal 2"/>
    <tableColumn id="6" xr3:uid="{291758C1-5438-0048-BF4A-CF7B98001044}" name="Payments to Governments Report" dataDxfId="49">
      <calculatedColumnFormula>SUMIF(Table10[Company],Companies[[#This Row],[Full company name]],Table10[Revenue value])</calculatedColumnFormula>
    </tableColumn>
  </tableColumns>
  <tableStyleInfo name="EITI Table" showFirstColumn="0" showLastColumn="0" showRowStripes="1" showColumnStripes="0"/>
</table>
</file>

<file path=xl/tables/table2.xml><?xml version="1.0" encoding="utf-8"?>
<table xmlns="http://purl.oclc.org/ooxml/spreadsheetml/main" xmlns:mc="http://schemas.openxmlformats.org/markup-compatibility/2006" xmlns:xr="http://schemas.microsoft.com/office/spreadsheetml/2014/revision" xmlns:xr3="http://schemas.microsoft.com/office/spreadsheetml/2016/revision3" mc:Ignorable="xr xr3" id="2" xr:uid="{4E8DA15F-CE93-A649-843D-7CEDD49E791D}" name="Government_agencies" displayName="Government_agencies" ref="B14:G24" totalsRowShown="0" headerRowDxfId="48" dataDxfId="47" tableBorderDxfId="46" headerRowCellStyle="Normal 2">
  <autoFilter ref="B14:G24" xr:uid="{A8B4B39C-0D0F-4818-88C8-91C925EC55AF}"/>
  <tableColumns count="6">
    <tableColumn id="1" xr3:uid="{674D2220-BA65-2E4E-9BC2-0EDB878A71FC}" name="Full name of agency" dataDxfId="45"/>
    <tableColumn id="4" xr3:uid="{FA759A2A-79C0-D240-890C-DADA291BFE12}" name="Agency type" dataDxfId="44" dataCellStyle="Normal 2"/>
    <tableColumn id="2" xr3:uid="{0FF81503-4D76-114D-AA09-2B0D6F80E485}" name="ID number (if applicable)" dataDxfId="43"/>
    <tableColumn id="5" xr3:uid="{186FB3E1-73EF-4DCA-8AD0-093839E36D3D}" name="Submitted reporting templates?" dataDxfId="42" dataCellStyle="Normal 2"/>
    <tableColumn id="6" xr3:uid="{59D3C8E5-42D6-4220-89CF-19592188BB3D}" name="Adhered to MSG's quality assurances?" dataDxfId="41" dataCellStyle="Normal 2"/>
    <tableColumn id="3" xr3:uid="{531D6019-25A3-8C4F-BE8A-969A975024D5}" name="Total reported" dataDxfId="40">
      <calculatedColumnFormula>152625185+(-35810449)+508479411+626729608+3622910+9388369+7648376+3416869+103704461</calculatedColumnFormula>
    </tableColumn>
  </tableColumns>
  <tableStyleInfo name="EITI Table" showFirstColumn="0" showLastColumn="0" showRowStripes="1" showColumnStripes="0"/>
</table>
</file>

<file path=xl/tables/table3.xml><?xml version="1.0" encoding="utf-8"?>
<table xmlns="http://purl.oclc.org/ooxml/spreadsheetml/main" xmlns:mc="http://schemas.openxmlformats.org/markup-compatibility/2006" xmlns:xr="http://schemas.microsoft.com/office/spreadsheetml/2014/revision" xmlns:xr3="http://schemas.microsoft.com/office/spreadsheetml/2016/revision3" mc:Ignorable="xr xr3" id="3" xr:uid="{ABE35322-746C-4641-8924-6FEE2C6F0FD0}" name="Companies15" displayName="Companies15" ref="B92:J112" totalsRowShown="0" headerRowDxfId="39" dataDxfId="38" tableBorderDxfId="37" headerRowCellStyle="Normal 2">
  <autoFilter ref="B92:J112" xr:uid="{BB4EE31E-36E6-444B-8B65-954004E3DCB7}"/>
  <tableColumns count="9">
    <tableColumn id="1" xr3:uid="{CBD6242D-D0A6-D449-A3A1-9792D7313E45}" name="Full project name" dataDxfId="36"/>
    <tableColumn id="2" xr3:uid="{14B95186-5E09-AE4A-8C7F-4924D79B8C4B}" name="Legal agreement reference number(s): contract, licence, lease, concession, …" dataDxfId="35"/>
    <tableColumn id="3" xr3:uid="{106EE25D-B94D-8A41-9475-F72526E117FA}" name="Affiliated companies, start with Operator" dataDxfId="34"/>
    <tableColumn id="5" xr3:uid="{7DF2E0F0-7285-594F-8190-697E6ECB67D1}" name="Commodities (one commodity/row)" dataDxfId="33" dataCellStyle="Normal 2"/>
    <tableColumn id="6" xr3:uid="{D2026E58-606A-C843-99F3-CDD278CD7EFF}" name="Status" dataDxfId="32"/>
    <tableColumn id="7" xr3:uid="{13486B90-91D2-AD4D-B3C9-04294DE70C3A}" name="Production (volume)" dataDxfId="31"/>
    <tableColumn id="8" xr3:uid="{584403E5-3E1C-6848-9EBA-08B95DC4A835}" name="Unit" dataDxfId="30"/>
    <tableColumn id="9" xr3:uid="{93A905D0-31E2-9E48-BE81-ADABB6F28E0A}" name="Production (value)" dataDxfId="29" dataCellStyle="Normal 2">
      <calculatedColumnFormula>4111406762.64</calculatedColumnFormula>
    </tableColumn>
    <tableColumn id="10" xr3:uid="{F76AC173-4D83-B348-A471-62207845B859}" name="Currency" dataDxfId="28"/>
  </tableColumns>
  <tableStyleInfo name="EITI Table" showFirstColumn="0" showLastColumn="0" showRowStripes="1" showColumnStripes="0"/>
</table>
</file>

<file path=xl/tables/table4.xml><?xml version="1.0" encoding="utf-8"?>
<table xmlns="http://purl.oclc.org/ooxml/spreadsheetml/main" xmlns:mc="http://schemas.openxmlformats.org/markup-compatibility/2006" xmlns:xr="http://schemas.microsoft.com/office/spreadsheetml/2014/revision" xmlns:xr3="http://schemas.microsoft.com/office/spreadsheetml/2016/revision3" mc:Ignorable="xr xr3" id="4" xr:uid="{96AB0F3A-D878-2147-97EF-2F065F1921A0}" name="Government_revenues_table" displayName="Government_revenues_table" ref="B21:K44" totalsRowShown="0" headerRowDxfId="27" dataDxfId="26">
  <autoFilter ref="B21:K44" xr:uid="{00000000-0009-0000-0100-000006000000}"/>
  <tableColumns count="10">
    <tableColumn id="8" xr3:uid="{A85340DF-4F5B-BF4F-BDFD-9014CD28AC4B}" name="GFS Level 1" dataDxfId="25">
      <calculatedColumnFormula>IFERROR(VLOOKUP(Government_revenues_table[[#This Row],[GFS Classification]],[1]!Table6_GFS_codes_classification[#Data],COLUMNS($F:F)+3,FALSE),"Do not enter data")</calculatedColumnFormula>
    </tableColumn>
    <tableColumn id="9" xr3:uid="{4E5A5671-151E-6847-9460-7C6E88BEF15C}" name="GFS Level 2" dataDxfId="24">
      <calculatedColumnFormula>IFERROR(VLOOKUP(Government_revenues_table[[#This Row],[GFS Classification]],[1]!Table6_GFS_codes_classification[#Data],COLUMNS($F:G)+3,FALSE),"Do not enter data")</calculatedColumnFormula>
    </tableColumn>
    <tableColumn id="10" xr3:uid="{ADD046D1-71CD-3B48-BEDB-22982D525DF8}" name="GFS Level 3" dataDxfId="23">
      <calculatedColumnFormula>IFERROR(VLOOKUP(Government_revenues_table[[#This Row],[GFS Classification]],[1]!Table6_GFS_codes_classification[#Data],COLUMNS($F:H)+3,FALSE),"Do not enter data")</calculatedColumnFormula>
    </tableColumn>
    <tableColumn id="7" xr3:uid="{57E8F10A-36E3-1548-9B82-F8551071C286}" name="GFS Level 4" dataDxfId="22">
      <calculatedColumnFormula>IFERROR(VLOOKUP(Government_revenues_table[[#This Row],[GFS Classification]],[1]!Table6_GFS_codes_classification[#Data],COLUMNS($F:I)+3,FALSE),"Do not enter data")</calculatedColumnFormula>
    </tableColumn>
    <tableColumn id="1" xr3:uid="{8569EE08-54B2-334D-A907-7D04596732E6}" name="GFS Classification" dataDxfId="21"/>
    <tableColumn id="11" xr3:uid="{DD68B801-F20E-724B-B339-4B5CE66CB27C}" name="Sector" dataDxfId="20"/>
    <tableColumn id="3" xr3:uid="{5B41E4C4-952A-F94D-B0E7-F169AC07BFA8}" name="Revenue stream name" dataDxfId="19"/>
    <tableColumn id="4" xr3:uid="{735C9722-30B6-8744-B8F6-37D4F9ED8122}" name="Government entity" dataDxfId="18"/>
    <tableColumn id="5" xr3:uid="{BED15E7E-A19A-D44C-91FD-99299DE49925}" name="Revenue value" dataDxfId="17"/>
    <tableColumn id="2" xr3:uid="{0F77021D-3E47-8745-B489-639387BA0376}" name="Currency" dataDxfId="16"/>
  </tableColumns>
  <tableStyleInfo name="EITI Table" showFirstColumn="0" showLastColumn="0" showRowStripes="1" showColumnStripes="0"/>
</table>
</file>

<file path=xl/tables/table5.xml><?xml version="1.0" encoding="utf-8"?>
<table xmlns="http://purl.oclc.org/ooxml/spreadsheetml/main" xmlns:mc="http://schemas.openxmlformats.org/markup-compatibility/2006" xmlns:xr="http://schemas.microsoft.com/office/spreadsheetml/2014/revision" xmlns:xr3="http://schemas.microsoft.com/office/spreadsheetml/2016/revision3" mc:Ignorable="xr xr3" id="5" xr:uid="{3156AE9C-1B11-3640-956F-B5CD77F488D9}" name="Table10" displayName="Table10" ref="B14:O169" totalsRowShown="0" headerRowDxfId="15" dataDxfId="14">
  <autoFilter ref="B14:O169" xr:uid="{F6A9E8DB-AAD3-4F23-BDF8-F73CD40C929E}"/>
  <tableColumns count="14">
    <tableColumn id="7" xr3:uid="{B0B955AC-7B0F-4E2F-A90F-081F8DF53075}" name="Sector" dataDxfId="13">
      <calculatedColumnFormula>VLOOKUP(C15,[1]!Companies[#Data],3,FALSE)</calculatedColumnFormula>
    </tableColumn>
    <tableColumn id="1" xr3:uid="{F4BA65A6-3315-4982-8AD1-6233F51539B3}" name="Company" dataDxfId="12"/>
    <tableColumn id="3" xr3:uid="{4A565997-97E1-47A8-8ADC-39016648A467}" name="Government entity" dataDxfId="11"/>
    <tableColumn id="4" xr3:uid="{75F55348-A345-4AA0-B61D-0C0295D72872}" name="Revenue stream name" dataDxfId="10"/>
    <tableColumn id="5" xr3:uid="{8F7A06AD-203D-4268-8054-4B0336697888}" name="Levied on project (Y/N)" dataDxfId="9"/>
    <tableColumn id="6" xr3:uid="{9B64602E-90E7-4EA8-BE6A-A27376494140}" name="Reported by project (Y/N)" dataDxfId="8"/>
    <tableColumn id="2" xr3:uid="{43916E52-B1CF-479E-90B0-1D04D88358CC}" name="Project name" dataDxfId="7"/>
    <tableColumn id="13" xr3:uid="{34B04123-A3F5-4642-9FBB-D99F80C5C76E}" name="Reporting currency" dataDxfId="6"/>
    <tableColumn id="14" xr3:uid="{6349802A-D43D-4C34-8E59-A12205BD358D}" name="Revenue value" dataDxfId="5"/>
    <tableColumn id="18" xr3:uid="{9520FDAE-EF49-4183-894D-5E5291D023E4}" name="Payment made in-kind (Y/N)" dataDxfId="4"/>
    <tableColumn id="8" xr3:uid="{A773D8BD-C33D-417F-8B52-0168D9E80008}" name="In-kind volume (if applicable)" dataDxfId="3"/>
    <tableColumn id="9" xr3:uid="{BED2E64F-7F4B-4636-8EC9-DCC71768D73F}" name="Unit (if applicable)" dataDxfId="2"/>
    <tableColumn id="10" xr3:uid="{A6754352-A303-4E88-808C-7F5939247080}" name="Comments" dataDxfId="1"/>
    <tableColumn id="11" xr3:uid="{00E5B834-5984-1A43-96DD-A541C6D26A23}" name="Has the company provided the required quality assurances for its disclosures?" dataDxfId="0" dataCellStyle="Normal 3"/>
  </tableColumns>
  <tableStyleInfo name="EITI Table" showFirstColumn="0" showLastColumn="0" showRowStripes="1" showColumnStripes="0"/>
</table>
</file>

<file path=xl/theme/theme1.xml><?xml version="1.0" encoding="utf-8"?>
<a:theme xmlns:a="http://purl.oclc.org/ooxml/drawingml/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purl.oclc.org/ooxml/spreadsheetml/main">
  <threadedComment ref="E42" dT="2022-02-02T23:02:11.53" personId="{87FD78EF-D37B-4D75-923E-CC1C9226127C}" id="{805FAB43-6001-453C-94CD-9581DB8F9AAF}">
    <text>Yet to Comment</text>
  </threadedComment>
  <threadedComment ref="E42" dT="2022-02-03T23:16:35.45" personId="{91D5B00F-E786-47F9-9034-1A3F5F4B358D}" id="{61C17BBB-FFA2-4AC6-86B9-CC1A777F8D4A}" parentId="{805FAB43-6001-453C-94CD-9581DB8F9AAF}">
    <text>From data summary - reconfirm</text>
  </threadedComment>
  <threadedComment ref="E43" dT="2022-02-02T23:02:24.15" personId="{87FD78EF-D37B-4D75-923E-CC1C9226127C}" id="{D999A278-5A34-4DDD-A1E2-DD7232566DFE}">
    <text>Ye to comment</text>
  </threadedComment>
  <threadedComment ref="E43" dT="2022-02-03T23:16:52.04" personId="{91D5B00F-E786-47F9-9034-1A3F5F4B358D}" id="{4939FBD6-CAB6-4D32-A239-8A8D28971E1A}" parentId="{D999A278-5A34-4DDD-A1E2-DD7232566DFE}">
    <text>From summary data - reconfirm</text>
  </threadedComment>
</ThreadedComments>
</file>

<file path=xl/threadedComments/threadedComment2.xml><?xml version="1.0" encoding="utf-8"?>
<ThreadedComments xmlns="http://schemas.microsoft.com/office/spreadsheetml/2018/threadedcomments" xmlns:x="http://purl.oclc.org/ooxml/spreadsheetml/main">
  <threadedComment ref="P16" dT="2022-03-15T00:27:31.10" personId="{91D5B00F-E786-47F9-9034-1A3F5F4B358D}" id="{2E746D02-F38F-4795-B186-7DBEC4C55E7C}">
    <text>Leonard - what is fiscal devolution (am unable in pg 59-62)</text>
  </threadedComment>
  <threadedComment ref="P23" dT="2022-03-15T00:27:31.10" personId="{91D5B00F-E786-47F9-9034-1A3F5F4B358D}" id="{8C4DF42C-A91F-40BC-A491-83798B467522}">
    <text>Leonard - what is fiscal devolution (am unable in pg 59-62)</text>
  </threadedComment>
</ThreadedComments>
</file>

<file path=xl/threadedComments/threadedComment3.xml><?xml version="1.0" encoding="utf-8"?>
<ThreadedComments xmlns="http://schemas.microsoft.com/office/spreadsheetml/2018/threadedcomments" xmlns:x="http://purl.oclc.org/ooxml/spreadsheetml/main">
  <threadedComment ref="P11" dT="2022-03-22T22:27:43.00" personId="{91D5B00F-E786-47F9-9034-1A3F5F4B358D}" id="{5884FBD0-93A8-40C7-8E57-E8AF3DBB47A0}">
    <text>Leonard to comment on accuracy of formula</text>
  </threadedComment>
</ThreadedComments>
</file>

<file path=xl/worksheets/_rels/sheet1.xml.rels><?xml version="1.0" encoding="UTF-8" standalone="yes"?>
<Relationships xmlns="http://schemas.openxmlformats.org/package/2006/relationships"><Relationship Id="rId2" Type="http://purl.oclc.org/ooxml/officeDocument/relationships/drawing" Target="../drawings/drawing1.xml"/><Relationship Id="rId1" Type="http://purl.oclc.org/ooxml/officeDocument/relationships/printerSettings" Target="../printerSettings/printerSettings1.bin"/></Relationships>
</file>

<file path=xl/worksheets/_rels/sheet2.xml.rels><?xml version="1.0" encoding="UTF-8" standalone="yes"?>
<Relationships xmlns="http://schemas.openxmlformats.org/package/2006/relationships"><Relationship Id="rId8" Type="http://purl.oclc.org/ooxml/officeDocument/relationships/printerSettings" Target="../printerSettings/printerSettings2.bin"/><Relationship Id="rId3" Type="http://purl.oclc.org/ooxml/officeDocument/relationships/hyperlink" Target="https://eiti.org/document/standard" TargetMode="External"/><Relationship Id="rId7" Type="http://purl.oclc.org/ooxml/officeDocument/relationships/hyperlink" Target="https://www.bankpng.gov.pg/historical-exchange-rates/" TargetMode="External"/><Relationship Id="rId12" Type="http://schemas.microsoft.com/office/2017/10/relationships/threadedComment" Target="../threadedComments/threadedComment1.xml"/><Relationship Id="rId2" Type="http://purl.oclc.org/ooxml/officeDocument/relationships/hyperlink" Target="https://eiti.org/document/standard" TargetMode="External"/><Relationship Id="rId1" Type="http://purl.oclc.org/ooxml/officeDocument/relationships/hyperlink" Target="https://en.wikipedia.org/wiki/ISO_4217" TargetMode="External"/><Relationship Id="rId6" Type="http://purl.oclc.org/ooxml/officeDocument/relationships/hyperlink" Target="http://www.pngeiti.org.pg/" TargetMode="External"/><Relationship Id="rId11" Type="http://purl.oclc.org/ooxml/officeDocument/relationships/comments" Target="../comments1.xml"/><Relationship Id="rId5" Type="http://purl.oclc.org/ooxml/officeDocument/relationships/hyperlink" Target="http://www.pngeiti.org.pg/wp-content/uploads/2018/04/PNG-Open-Data-Policy-and-Framework.pdf" TargetMode="External"/><Relationship Id="rId10" Type="http://schemas.openxmlformats.org/officeDocument/2006/relationships/vmlDrawing" Target="../drawings/vmlDrawing1.vml"/><Relationship Id="rId4" Type="http://purl.oclc.org/ooxml/officeDocument/relationships/hyperlink" Target="https://eiti.org/reports/" TargetMode="External"/><Relationship Id="rId9" Type="http://purl.oclc.org/ooxml/officeDocument/relationships/drawing" Target="../drawings/drawing2.xml"/></Relationships>
</file>

<file path=xl/worksheets/_rels/sheet3.xml.rels><?xml version="1.0" encoding="UTF-8" standalone="yes"?>
<Relationships xmlns="http://schemas.openxmlformats.org/package/2006/relationships"><Relationship Id="rId8" Type="http://purl.oclc.org/ooxml/officeDocument/relationships/hyperlink" Target="http://www.paclii.org/pg/legis/num_act/mraa2005328.pdf" TargetMode="External"/><Relationship Id="rId13" Type="http://purl.oclc.org/ooxml/officeDocument/relationships/printerSettings" Target="../printerSettings/printerSettings3.bin"/><Relationship Id="rId3" Type="http://purl.oclc.org/ooxml/officeDocument/relationships/hyperlink" Target="http://www.paclii.org/pg/legis/consol_act/ma199281.pdf" TargetMode="External"/><Relationship Id="rId7" Type="http://purl.oclc.org/ooxml/officeDocument/relationships/hyperlink" Target="http://taxreview.gov.pg/" TargetMode="External"/><Relationship Id="rId12" Type="http://purl.oclc.org/ooxml/officeDocument/relationships/hyperlink" Target="https://petroleum.gov.pg/wp-content/uploads/2020/02/PNG-Petroleum-Policy-Handbook.pdf" TargetMode="External"/><Relationship Id="rId17" Type="http://schemas.microsoft.com/office/2017/10/relationships/threadedComment" Target="../threadedComments/threadedComment2.xml"/><Relationship Id="rId2" Type="http://purl.oclc.org/ooxml/officeDocument/relationships/hyperlink" Target="http://www.paclii.org/pg/legis/consol_act/ma199281.pdf" TargetMode="External"/><Relationship Id="rId16" Type="http://purl.oclc.org/ooxml/officeDocument/relationships/comments" Target="../comments2.xml"/><Relationship Id="rId1" Type="http://purl.oclc.org/ooxml/officeDocument/relationships/hyperlink" Target="http://taxreview.gov.pg/wp-content/uploads/2014/08/14.08.08_mpt.submission_department.mineral.policy.pdf" TargetMode="External"/><Relationship Id="rId6" Type="http://purl.oclc.org/ooxml/officeDocument/relationships/hyperlink" Target="http://taxreview.gov.pg/" TargetMode="External"/><Relationship Id="rId11" Type="http://purl.oclc.org/ooxml/officeDocument/relationships/hyperlink" Target="https://petroleum.gov.pg/legislative/" TargetMode="External"/><Relationship Id="rId5" Type="http://purl.oclc.org/ooxml/officeDocument/relationships/hyperlink" Target="https://petroleum.gov.pg/wp-content/uploads/2020/02/PNG-Petroleum-Policy-Handbook.pdf" TargetMode="External"/><Relationship Id="rId15" Type="http://schemas.openxmlformats.org/officeDocument/2006/relationships/vmlDrawing" Target="../drawings/vmlDrawing2.vml"/><Relationship Id="rId10" Type="http://purl.oclc.org/ooxml/officeDocument/relationships/hyperlink" Target="https://mra.gov.pg/investment/miningregulations/" TargetMode="External"/><Relationship Id="rId4" Type="http://purl.oclc.org/ooxml/officeDocument/relationships/hyperlink" Target="https://mra.gov.pg/regulatory/aboutregulatory/" TargetMode="External"/><Relationship Id="rId9" Type="http://purl.oclc.org/ooxml/officeDocument/relationships/hyperlink" Target="http://www.parliament.gov.pg/uploads/acts/18A-06.pdf" TargetMode="External"/><Relationship Id="rId14" Type="http://purl.oclc.org/ooxml/officeDocument/relationships/drawing" Target="../drawings/drawing3.xml"/></Relationships>
</file>

<file path=xl/worksheets/_rels/sheet4.xml.rels><?xml version="1.0" encoding="UTF-8" standalone="yes"?>
<Relationships xmlns="http://schemas.openxmlformats.org/package/2006/relationships"><Relationship Id="rId8" Type="http://purl.oclc.org/ooxml/officeDocument/relationships/hyperlink" Target="https://actnowpng.org/sites/default/files/1.%20Mining%20Act%201992.pdf" TargetMode="External"/><Relationship Id="rId3" Type="http://purl.oclc.org/ooxml/officeDocument/relationships/hyperlink" Target="https://petroleum.gov.pg/wp-content/uploads/2020/02/PNG-Petroleum-Policy-Handbook.pdf" TargetMode="External"/><Relationship Id="rId7" Type="http://purl.oclc.org/ooxml/officeDocument/relationships/hyperlink" Target="https://actnowpng.org/sites/default/files/1.%20Mining%20Act%201992.pdf" TargetMode="External"/><Relationship Id="rId12" Type="http://purl.oclc.org/ooxml/officeDocument/relationships/printerSettings" Target="../printerSettings/printerSettings4.bin"/><Relationship Id="rId2" Type="http://purl.oclc.org/ooxml/officeDocument/relationships/hyperlink" Target="https://petroleum.gov.pg/wp-content/uploads/2020/02/PNG-Petroleum-Policy-Handbook.pdf" TargetMode="External"/><Relationship Id="rId1" Type="http://purl.oclc.org/ooxml/officeDocument/relationships/hyperlink" Target="https://petroleum.gov.pg/wp-content/uploads/2020/02/PNG-Oil-Gas-Regulations.pdf" TargetMode="External"/><Relationship Id="rId6" Type="http://purl.oclc.org/ooxml/officeDocument/relationships/hyperlink" Target="https://actnowpng.org/sites/default/files/1.%20Mining%20Act%201992.pdf" TargetMode="External"/><Relationship Id="rId11" Type="http://purl.oclc.org/ooxml/officeDocument/relationships/hyperlink" Target="https://petroleum.gov.pg/wp-content/uploads/2020/02/PNG-Petroleum-Policy-Handbook.pdf" TargetMode="External"/><Relationship Id="rId5" Type="http://purl.oclc.org/ooxml/officeDocument/relationships/hyperlink" Target="https://actnowpng.org/sites/default/files/1.%20Mining%20Act%201992.pdf" TargetMode="External"/><Relationship Id="rId10" Type="http://purl.oclc.org/ooxml/officeDocument/relationships/hyperlink" Target="https://petroleum.gov.pg/wp-content/uploads/2020/02/PNG-Oil-Gas-Regulations.pdf" TargetMode="External"/><Relationship Id="rId4" Type="http://purl.oclc.org/ooxml/officeDocument/relationships/hyperlink" Target="https://actnowpng.org/sites/default/files/1.%20Mining%20Act%201992.pdf" TargetMode="External"/><Relationship Id="rId9" Type="http://purl.oclc.org/ooxml/officeDocument/relationships/hyperlink" Target="https://petroleum.gov.pg/wp-content/uploads/2020/02/PNG-Oil-Gas-Regulations.pdf" TargetMode="External"/></Relationships>
</file>

<file path=xl/worksheets/_rels/sheet5.xml.rels><?xml version="1.0" encoding="UTF-8" standalone="yes"?>
<Relationships xmlns="http://schemas.openxmlformats.org/package/2006/relationships"><Relationship Id="rId8" Type="http://purl.oclc.org/ooxml/officeDocument/relationships/hyperlink" Target="https://mra.gov.pg/regulatory/permitting/" TargetMode="External"/><Relationship Id="rId3" Type="http://purl.oclc.org/ooxml/officeDocument/relationships/hyperlink" Target="https://petroleum.gov.pg/licensing/" TargetMode="External"/><Relationship Id="rId7" Type="http://purl.oclc.org/ooxml/officeDocument/relationships/hyperlink" Target="https://petroleum.gov.pg/licensing/" TargetMode="External"/><Relationship Id="rId2" Type="http://purl.oclc.org/ooxml/officeDocument/relationships/hyperlink" Target="https://mra.gov.pg/regulatory/permitting/" TargetMode="External"/><Relationship Id="rId1" Type="http://purl.oclc.org/ooxml/officeDocument/relationships/hyperlink" Target="https://mra.gov.pg/regulatory/permitting/" TargetMode="External"/><Relationship Id="rId6" Type="http://purl.oclc.org/ooxml/officeDocument/relationships/hyperlink" Target="https://mra.gov.pg/regulatory/permitting/" TargetMode="External"/><Relationship Id="rId11" Type="http://purl.oclc.org/ooxml/officeDocument/relationships/printerSettings" Target="../printerSettings/printerSettings5.bin"/><Relationship Id="rId5" Type="http://purl.oclc.org/ooxml/officeDocument/relationships/hyperlink" Target="https://mra.gov.pg/regulatory/permitting/" TargetMode="External"/><Relationship Id="rId10" Type="http://purl.oclc.org/ooxml/officeDocument/relationships/hyperlink" Target="https://portal.mra.gov.pg/Site/MapPage.aspx?PageID=e735c534-5f4e-4b2b-a544-89b90357e0f1" TargetMode="External"/><Relationship Id="rId4" Type="http://purl.oclc.org/ooxml/officeDocument/relationships/hyperlink" Target="http://www.pngchamberminpet.com.pg/our-resource-industry/petroleum" TargetMode="External"/><Relationship Id="rId9" Type="http://purl.oclc.org/ooxml/officeDocument/relationships/hyperlink" Target="https://mra.gov.pg/regulatory/permitting/" TargetMode="External"/></Relationships>
</file>

<file path=xl/worksheets/_rels/sheet6.xml.rels><?xml version="1.0" encoding="UTF-8" standalone="yes"?>
<Relationships xmlns="http://schemas.openxmlformats.org/package/2006/relationships"><Relationship Id="rId1" Type="http://purl.oclc.org/ooxml/officeDocument/relationships/printerSettings" Target="../printerSettings/printerSettings6.bin"/></Relationships>
</file>

<file path=xl/worksheets/_rels/sheet7.xml.rels><?xml version="1.0" encoding="UTF-8" standalone="yes"?>
<Relationships xmlns="http://schemas.openxmlformats.org/package/2006/relationships"><Relationship Id="rId8" Type="http://purl.oclc.org/ooxml/officeDocument/relationships/hyperlink" Target="https://view.officeapps.live.com/op/view.aspx?src=http%3A%2F%2Fwww.pngeiti.org.pg%2Fwp-content%2Fuploads%2F2020%2F12%2FEITI-PNG-BO-Register-last-update-20.12.2020.xlsx&amp;wdOrigin=BROWSELINK" TargetMode="External"/><Relationship Id="rId3" Type="http://purl.oclc.org/ooxml/officeDocument/relationships/hyperlink" Target="http://www.pngeiti.org.pg/wp-content/uploads/2021/06/PNGEITI-BO-Report.pdf" TargetMode="External"/><Relationship Id="rId7" Type="http://purl.oclc.org/ooxml/officeDocument/relationships/hyperlink" Target="http://www.pngeiti.org.pg/wp-content/uploads/2021/06/PNGEITI-BO-Report.pdf" TargetMode="External"/><Relationship Id="rId2" Type="http://purl.oclc.org/ooxml/officeDocument/relationships/hyperlink" Target="http://www.pngeiti.org.pg/wp-content/uploads/2020/12/BDO_PNG-EITI-BO-Report-Final-version-20-12-20.pdf" TargetMode="External"/><Relationship Id="rId1" Type="http://purl.oclc.org/ooxml/officeDocument/relationships/hyperlink" Target="http://www.pngeiti.org.pg/wp-content/uploads/2020/12/BDO_PNG-EITI-BO-Report-Final-version-20-12-20.pdf" TargetMode="External"/><Relationship Id="rId6" Type="http://purl.oclc.org/ooxml/officeDocument/relationships/hyperlink" Target="http://www.pngeiti.org.pg/wp-content/uploads/2021/06/PNGEITI-BO-Report.pdf%20provide%20BO%20data%20assurance%20mechanism%20in%20page%209-10" TargetMode="External"/><Relationship Id="rId11" Type="http://purl.oclc.org/ooxml/officeDocument/relationships/printerSettings" Target="../printerSettings/printerSettings7.bin"/><Relationship Id="rId5" Type="http://purl.oclc.org/ooxml/officeDocument/relationships/hyperlink" Target="https://view.officeapps.live.com/op/view.aspx?src=http%3A%2F%2Fwww.pngeiti.org.pg%2Fwp-content%2Fuploads%2F2020%2F12%2FEITI-PNG-BO-Register-last-update-20.12.2020.xlsx&amp;wdOrigin=BROWSELINK" TargetMode="External"/><Relationship Id="rId10" Type="http://purl.oclc.org/ooxml/officeDocument/relationships/hyperlink" Target="https://view.officeapps.live.com/op/view.aspx?src=http%3A%2F%2Fwww.pngeiti.org.pg%2Fwp-content%2Fuploads%2F2020%2F12%2FEITI-PNG-BO-Register-last-update-20.12.2020.xlsx&amp;wdOrigin=BROWSELINK" TargetMode="External"/><Relationship Id="rId4" Type="http://purl.oclc.org/ooxml/officeDocument/relationships/hyperlink" Target="http://www.pngeiti.org.pg/wp-content/uploads/2021/06/PNGEITI-BO-Report.pdf" TargetMode="External"/><Relationship Id="rId9" Type="http://purl.oclc.org/ooxml/officeDocument/relationships/hyperlink" Target="https://view.officeapps.live.com/op/view.aspx?src=http%3A%2F%2Fwww.pngeiti.org.pg%2Fwp-content%2Fuploads%2F2020%2F12%2FEITI-PNG-BO-Register-last-update-20.12.2020.xlsx&amp;wdOrigin=BROWSELINK" TargetMode="External"/></Relationships>
</file>

<file path=xl/worksheets/_rels/sheet8.xml.rels><?xml version="1.0" encoding="UTF-8" standalone="yes"?>
<Relationships xmlns="http://schemas.openxmlformats.org/package/2006/relationships"><Relationship Id="rId3" Type="http://purl.oclc.org/ooxml/officeDocument/relationships/printerSettings" Target="../printerSettings/printerSettings8.bin"/><Relationship Id="rId2" Type="http://purl.oclc.org/ooxml/officeDocument/relationships/hyperlink" Target="http://www.ago.gov.pg/images/Part_4_Report_2019.pdf" TargetMode="External"/><Relationship Id="rId1" Type="http://purl.oclc.org/ooxml/officeDocument/relationships/hyperlink" Target="http://www.mra.gov.pg/" TargetMode="External"/><Relationship Id="rId6" Type="http://purl.oclc.org/ooxml/officeDocument/relationships/comments" Target="../comments3.xml"/><Relationship Id="rId5" Type="http://schemas.openxmlformats.org/officeDocument/2006/relationships/vmlDrawing" Target="../drawings/vmlDrawing3.vml"/><Relationship Id="rId4" Type="http://purl.oclc.org/ooxml/officeDocument/relationships/drawing" Target="../drawings/drawing4.xml"/></Relationships>
</file>

<file path=xl/worksheets/_rels/sheet9.xml.rels><?xml version="1.0" encoding="UTF-8" standalone="yes"?>
<Relationships xmlns="http://schemas.openxmlformats.org/package/2006/relationships"><Relationship Id="rId3" Type="http://purl.oclc.org/ooxml/officeDocument/relationships/printerSettings" Target="../printerSettings/printerSettings9.bin"/><Relationship Id="rId2" Type="http://purl.oclc.org/ooxml/officeDocument/relationships/hyperlink" Target="http://www.mra.gov.pg/" TargetMode="External"/><Relationship Id="rId1" Type="http://purl.oclc.org/ooxml/officeDocument/relationships/hyperlink" Target="http://www.pngeiti.gov.pg/pngeiti" TargetMode="External"/></Relationships>
</file>

<file path=xl/worksheets/_rels/sheet10.xml.rels><?xml version="1.0" encoding="UTF-8" standalone="yes"?>
<Relationships xmlns="http://schemas.openxmlformats.org/package/2006/relationships"><Relationship Id="rId3" Type="http://purl.oclc.org/ooxml/officeDocument/relationships/printerSettings" Target="../printerSettings/printerSettings10.bin"/><Relationship Id="rId7" Type="http://schemas.microsoft.com/office/2017/10/relationships/threadedComment" Target="../threadedComments/threadedComment3.xml"/><Relationship Id="rId2" Type="http://purl.oclc.org/ooxml/officeDocument/relationships/hyperlink" Target="https://view.officeapps.live.com/op/view.aspx?src=http%3A%2F%2Fwww.pngeiti.org.pg%2Fwp-content%2Fuploads%2F2022%2F01%2F2019-Papua-New-Guinea-Summary-Data.xlsx&amp;wdOrigin=BROWSELINK" TargetMode="External"/><Relationship Id="rId1" Type="http://purl.oclc.org/ooxml/officeDocument/relationships/hyperlink" Target="https://unstats.un.org/unsd/tradekb/Knowledgebase/50018/Harmonized-Commodity-Description-and-Coding-Systems-HS" TargetMode="External"/><Relationship Id="rId6" Type="http://purl.oclc.org/ooxml/officeDocument/relationships/comments" Target="../comments4.xml"/><Relationship Id="rId5" Type="http://schemas.openxmlformats.org/officeDocument/2006/relationships/vmlDrawing" Target="../drawings/vmlDrawing4.vml"/><Relationship Id="rId4" Type="http://purl.oclc.org/ooxml/officeDocument/relationships/drawing" Target="../drawings/drawing5.xml"/></Relationships>
</file>

<file path=xl/worksheets/_rels/sheet11.xml.rels><?xml version="1.0" encoding="UTF-8" standalone="yes"?>
<Relationships xmlns="http://schemas.openxmlformats.org/package/2006/relationships"><Relationship Id="rId2" Type="http://purl.oclc.org/ooxml/officeDocument/relationships/printerSettings" Target="../printerSettings/printerSettings11.bin"/><Relationship Id="rId1" Type="http://purl.oclc.org/ooxml/officeDocument/relationships/hyperlink" Target="https://unstats.un.org/unsd/tradekb/Knowledgebase/50018/Harmonized-Commodity-Description-and-Coding-Systems-HS" TargetMode="External"/></Relationships>
</file>

<file path=xl/worksheets/_rels/sheet12.xml.rels><?xml version="1.0" encoding="UTF-8" standalone="yes"?>
<Relationships xmlns="http://schemas.openxmlformats.org/package/2006/relationships"><Relationship Id="rId3" Type="http://purl.oclc.org/ooxml/officeDocument/relationships/drawing" Target="../drawings/drawing6.xml"/><Relationship Id="rId2" Type="http://purl.oclc.org/ooxml/officeDocument/relationships/printerSettings" Target="../printerSettings/printerSettings12.bin"/><Relationship Id="rId1" Type="http://purl.oclc.org/ooxml/officeDocument/relationships/hyperlink" Target="http://www.cratergold.com.au/irm/content/annual-report.aspx?RID=226" TargetMode="External"/><Relationship Id="rId5" Type="http://purl.oclc.org/ooxml/officeDocument/relationships/comments" Target="../comments5.xml"/><Relationship Id="rId4" Type="http://schemas.openxmlformats.org/officeDocument/2006/relationships/vmlDrawing" Target="../drawings/vmlDrawing5.vml"/></Relationships>
</file>

<file path=xl/worksheets/_rels/sheet13.xml.rels><?xml version="1.0" encoding="UTF-8" standalone="yes"?>
<Relationships xmlns="http://schemas.openxmlformats.org/package/2006/relationships"><Relationship Id="rId8" Type="http://purl.oclc.org/ooxml/officeDocument/relationships/hyperlink" Target="https://www.santos.com/what-we-do/five-core-assets/papua-new-guinea/" TargetMode="External"/><Relationship Id="rId13" Type="http://purl.oclc.org/ooxml/officeDocument/relationships/hyperlink" Target="https://www.oilsearch.com/__data/assets/pdf_file/0005/46967/HC_OSL_AR19_Interactive_v2A_compressed.pdf" TargetMode="External"/><Relationship Id="rId18" Type="http://purl.oclc.org/ooxml/officeDocument/relationships/hyperlink" Target="https://www.newcrest.com/sites/default/files/2020-10/191004_Newcrest%20Annual%20Report_0.pdf" TargetMode="External"/><Relationship Id="rId26" Type="http://purl.oclc.org/ooxml/officeDocument/relationships/hyperlink" Target="https://oktedi.com/who-we-are/annual-performance/" TargetMode="External"/><Relationship Id="rId3" Type="http://purl.oclc.org/ooxml/officeDocument/relationships/hyperlink" Target="https://www.dnb.com/business-directory/company-profiles.mcc_ramu_nico_limited." TargetMode="External"/><Relationship Id="rId21" Type="http://purl.oclc.org/ooxml/officeDocument/relationships/hyperlink" Target="https://www1.hkexnews.hk/listedco/listconews/sehk/2020/0415/2020041501297.pdf" TargetMode="External"/><Relationship Id="rId34" Type="http://purl.oclc.org/ooxml/officeDocument/relationships/table" Target="../tables/table3.xml"/><Relationship Id="rId7" Type="http://purl.oclc.org/ooxml/officeDocument/relationships/hyperlink" Target="https://www.dnb.com/business-directory/company-profiles.total_ep_png_limited." TargetMode="External"/><Relationship Id="rId12" Type="http://purl.oclc.org/ooxml/officeDocument/relationships/hyperlink" Target="https://pngpartnership.exxonmobil.com/" TargetMode="External"/><Relationship Id="rId17" Type="http://purl.oclc.org/ooxml/officeDocument/relationships/hyperlink" Target="https://sec.report/otc/financial-report/243087" TargetMode="External"/><Relationship Id="rId25" Type="http://purl.oclc.org/ooxml/officeDocument/relationships/hyperlink" Target="https://oktedi.com/" TargetMode="External"/><Relationship Id="rId33" Type="http://purl.oclc.org/ooxml/officeDocument/relationships/table" Target="../tables/table2.xml"/><Relationship Id="rId2" Type="http://purl.oclc.org/ooxml/officeDocument/relationships/hyperlink" Target="https://www.dnb.com/business-directory/company-profiles.morobe_consolidated_goldfields_limited." TargetMode="External"/><Relationship Id="rId16" Type="http://purl.oclc.org/ooxml/officeDocument/relationships/hyperlink" Target="https://s25.q4cdn.com/322814910/files/doc_financial/annual_reports/2020/Barrick-Annual-Report-2020.pdf" TargetMode="External"/><Relationship Id="rId20" Type="http://purl.oclc.org/ooxml/officeDocument/relationships/hyperlink" Target="https://corporate.exxonmobil.com/-/media/Global/Files/investor-relations/annual-meeting-materials/annual-report-summaries/2020-Annual-Report.pdf" TargetMode="External"/><Relationship Id="rId29" Type="http://purl.oclc.org/ooxml/officeDocument/relationships/printerSettings" Target="../printerSettings/printerSettings13.bin"/><Relationship Id="rId1" Type="http://purl.oclc.org/ooxml/officeDocument/relationships/hyperlink" Target="https://www.dnb.com/business-directory/company-profiles.simberi_gold_company_ltd" TargetMode="External"/><Relationship Id="rId6" Type="http://purl.oclc.org/ooxml/officeDocument/relationships/hyperlink" Target="https://www.barrick.com/operations/porgera/default.aspx" TargetMode="External"/><Relationship Id="rId11" Type="http://purl.oclc.org/ooxml/officeDocument/relationships/hyperlink" Target="https://www.nex.jx-group.co.jp/english/project/oceania/png.html" TargetMode="External"/><Relationship Id="rId24" Type="http://purl.oclc.org/ooxml/officeDocument/relationships/hyperlink" Target="https://ssl4.eir-parts.net/doc/5020/ir_material_for_fiscal_ym9/92354/00.pdf" TargetMode="External"/><Relationship Id="rId32" Type="http://purl.oclc.org/ooxml/officeDocument/relationships/table" Target="../tables/table1.xml"/><Relationship Id="rId5" Type="http://purl.oclc.org/ooxml/officeDocument/relationships/hyperlink" Target="https://k92mining.com/" TargetMode="External"/><Relationship Id="rId15" Type="http://purl.oclc.org/ooxml/officeDocument/relationships/hyperlink" Target="https://totalenergies.com/sites/g/files/nytnzq121/files/atoms/files/2019_total_universal_registration_document.pdf" TargetMode="External"/><Relationship Id="rId23" Type="http://purl.oclc.org/ooxml/officeDocument/relationships/hyperlink" Target="https://stbarbara.com.au/wp-content/uploads/2020/09/2020.09.18-asx-2020-annual-report.pdf" TargetMode="External"/><Relationship Id="rId28" Type="http://purl.oclc.org/ooxml/officeDocument/relationships/hyperlink" Target="https://www.oilsearch.com/__data/assets/pdf_file/0005/46967/HC_OSL_AR19_Interactive_v2A_compressed.pdf" TargetMode="External"/><Relationship Id="rId10" Type="http://purl.oclc.org/ooxml/officeDocument/relationships/hyperlink" Target="https://www.oilsearch.com/home" TargetMode="External"/><Relationship Id="rId19" Type="http://purl.oclc.org/ooxml/officeDocument/relationships/hyperlink" Target="https://www.kch.com.pg/wp-content/uploads/2021/03/2019-KCH-Annual-Results-for-web-site.pdf" TargetMode="External"/><Relationship Id="rId31" Type="http://schemas.openxmlformats.org/officeDocument/2006/relationships/vmlDrawing" Target="../drawings/vmlDrawing6.vml"/><Relationship Id="rId4" Type="http://purl.oclc.org/ooxml/officeDocument/relationships/hyperlink" Target="https://www.dnb.com/business-directory/company-profiles.lihir_gold_limited." TargetMode="External"/><Relationship Id="rId9" Type="http://purl.oclc.org/ooxml/officeDocument/relationships/hyperlink" Target="http://kumulpetroleum.com/" TargetMode="External"/><Relationship Id="rId14" Type="http://purl.oclc.org/ooxml/officeDocument/relationships/hyperlink" Target="https://www.santos.com/wp-content/uploads/2020/02/2019-annual-report.pdf" TargetMode="External"/><Relationship Id="rId22" Type="http://purl.oclc.org/ooxml/officeDocument/relationships/hyperlink" Target="https://www.har.co.za/20/" TargetMode="External"/><Relationship Id="rId27" Type="http://purl.oclc.org/ooxml/officeDocument/relationships/hyperlink" Target="https://www.oilsearch.com/home" TargetMode="External"/><Relationship Id="rId30" Type="http://purl.oclc.org/ooxml/officeDocument/relationships/drawing" Target="../drawings/drawing7.xml"/><Relationship Id="rId35" Type="http://purl.oclc.org/ooxml/officeDocument/relationships/comments" Target="../comments6.xml"/></Relationships>
</file>

<file path=xl/worksheets/_rels/sheet14.xml.rels><?xml version="1.0" encoding="UTF-8" standalone="yes"?>
<Relationships xmlns="http://schemas.openxmlformats.org/package/2006/relationships"><Relationship Id="rId3" Type="http://purl.oclc.org/ooxml/officeDocument/relationships/hyperlink" Target="https://www.imf.org/external/np/sta/gfsm/" TargetMode="External"/><Relationship Id="rId7" Type="http://purl.oclc.org/ooxml/officeDocument/relationships/table" Target="../tables/table4.xml"/><Relationship Id="rId2" Type="http://purl.oclc.org/ooxml/officeDocument/relationships/hyperlink" Target="https://eiti.org/document/standard" TargetMode="External"/><Relationship Id="rId1" Type="http://purl.oclc.org/ooxml/officeDocument/relationships/hyperlink" Target="https://eiti.org/document/standard" TargetMode="External"/><Relationship Id="rId6" Type="http://purl.oclc.org/ooxml/officeDocument/relationships/drawing" Target="../drawings/drawing8.xml"/><Relationship Id="rId5" Type="http://purl.oclc.org/ooxml/officeDocument/relationships/printerSettings" Target="../printerSettings/printerSettings14.bin"/><Relationship Id="rId4" Type="http://purl.oclc.org/ooxml/officeDocument/relationships/hyperlink" Target="https://eiti.org/document/eiti-summary-data-template" TargetMode="External"/></Relationships>
</file>

<file path=xl/worksheets/_rels/sheet15.xml.rels><?xml version="1.0" encoding="UTF-8" standalone="yes"?>
<Relationships xmlns="http://schemas.openxmlformats.org/package/2006/relationships"><Relationship Id="rId3" Type="http://purl.oclc.org/ooxml/officeDocument/relationships/table" Target="../tables/table5.xml"/><Relationship Id="rId2" Type="http://purl.oclc.org/ooxml/officeDocument/relationships/printerSettings" Target="../printerSettings/printerSettings15.bin"/><Relationship Id="rId1" Type="http://purl.oclc.org/ooxml/officeDocument/relationships/hyperlink" Target="https://eiti.org/document/standard" TargetMode="External"/></Relationships>
</file>

<file path=xl/worksheets/_rels/sheet16.xml.rels><?xml version="1.0" encoding="UTF-8" standalone="yes"?>
<Relationships xmlns="http://schemas.openxmlformats.org/package/2006/relationships"><Relationship Id="rId1" Type="http://purl.oclc.org/ooxml/officeDocument/relationships/printerSettings" Target="../printerSettings/printerSettings16.bin"/></Relationships>
</file>

<file path=xl/worksheets/_rels/sheet17.xml.rels><?xml version="1.0" encoding="UTF-8" standalone="yes"?>
<Relationships xmlns="http://schemas.openxmlformats.org/package/2006/relationships"><Relationship Id="rId1" Type="http://purl.oclc.org/ooxml/officeDocument/relationships/printerSettings" Target="../printerSettings/printerSettings17.bin"/></Relationships>
</file>

<file path=xl/worksheets/_rels/sheet18.xml.rels><?xml version="1.0" encoding="UTF-8" standalone="yes"?>
<Relationships xmlns="http://schemas.openxmlformats.org/package/2006/relationships"><Relationship Id="rId1" Type="http://purl.oclc.org/ooxml/officeDocument/relationships/printerSettings" Target="../printerSettings/printerSettings18.bin"/></Relationships>
</file>

<file path=xl/worksheets/_rels/sheet19.xml.rels><?xml version="1.0" encoding="UTF-8" standalone="yes"?>
<Relationships xmlns="http://schemas.openxmlformats.org/package/2006/relationships"><Relationship Id="rId1" Type="http://purl.oclc.org/ooxml/officeDocument/relationships/printerSettings" Target="../printerSettings/printerSettings19.bin"/></Relationships>
</file>

<file path=xl/worksheets/_rels/sheet20.xml.rels><?xml version="1.0" encoding="UTF-8" standalone="yes"?>
<Relationships xmlns="http://schemas.openxmlformats.org/package/2006/relationships"><Relationship Id="rId2" Type="http://purl.oclc.org/ooxml/officeDocument/relationships/printerSettings" Target="../printerSettings/printerSettings20.bin"/><Relationship Id="rId1" Type="http://purl.oclc.org/ooxml/officeDocument/relationships/hyperlink" Target="http://www.pngeiti.org.pg/wp-content/uploads/2019/07/PNGEITI-Subnational-Payments-Report-May-2019.pdf" TargetMode="External"/></Relationships>
</file>

<file path=xl/worksheets/_rels/sheet21.xml.rels><?xml version="1.0" encoding="UTF-8" standalone="yes"?>
<Relationships xmlns="http://schemas.openxmlformats.org/package/2006/relationships"><Relationship Id="rId1" Type="http://purl.oclc.org/ooxml/officeDocument/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7.vml"/><Relationship Id="rId2" Type="http://purl.oclc.org/ooxml/officeDocument/relationships/drawing" Target="../drawings/drawing9.xml"/><Relationship Id="rId1" Type="http://purl.oclc.org/ooxml/officeDocument/relationships/printerSettings" Target="../printerSettings/printerSettings22.bin"/><Relationship Id="rId4" Type="http://purl.oclc.org/ooxml/officeDocument/relationships/comments" Target="../comments7.xml"/></Relationships>
</file>

<file path=xl/worksheets/_rels/sheet23.xml.rels><?xml version="1.0" encoding="UTF-8" standalone="yes"?>
<Relationships xmlns="http://schemas.openxmlformats.org/package/2006/relationships"><Relationship Id="rId2" Type="http://purl.oclc.org/ooxml/officeDocument/relationships/printerSettings" Target="../printerSettings/printerSettings23.bin"/><Relationship Id="rId1" Type="http://purl.oclc.org/ooxml/officeDocument/relationships/hyperlink" Target="https://eiti.org/board-decision/2020-31" TargetMode="External"/></Relationships>
</file>

<file path=xl/worksheets/_rels/sheet24.xml.rels><?xml version="1.0" encoding="UTF-8" standalone="yes"?>
<Relationships xmlns="http://schemas.openxmlformats.org/package/2006/relationships"><Relationship Id="rId3" Type="http://purl.oclc.org/ooxml/officeDocument/relationships/printerSettings" Target="../printerSettings/printerSettings24.bin"/><Relationship Id="rId2" Type="http://purl.oclc.org/ooxml/officeDocument/relationships/hyperlink" Target="https://eiti.org/files/documents/EITI%20Draft%20Guidance%20Note%20Template.pdf" TargetMode="External"/><Relationship Id="rId1" Type="http://purl.oclc.org/ooxml/officeDocument/relationships/hyperlink" Target="http://www.treasury.gov.pg/html/national_budget/files/2021/2021%20Budget%20Volume%201.pdf" TargetMode="External"/><Relationship Id="rId5" Type="http://purl.oclc.org/ooxml/officeDocument/relationships/drawing" Target="../drawings/drawing10.xml"/><Relationship Id="rId4" Type="http://schemas.openxmlformats.org/officeDocument/2006/relationships/vmlDrawing" Target="../drawings/vmlDrawing8.v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9.vml"/><Relationship Id="rId2" Type="http://purl.oclc.org/ooxml/officeDocument/relationships/printerSettings" Target="../printerSettings/printerSettings25.bin"/><Relationship Id="rId1" Type="http://purl.oclc.org/ooxml/officeDocument/relationships/hyperlink" Target="http://www.pngeiti.org.pg/wp-content/uploads/2019/07/PNGEITI-Subnational-Payments-Report-May-2019.pdf" TargetMode="External"/><Relationship Id="rId4" Type="http://purl.oclc.org/ooxml/officeDocument/relationships/drawing" Target="../drawings/drawing11.xml"/></Relationships>
</file>

<file path=xl/worksheets/_rels/sheet26.xml.rels><?xml version="1.0" encoding="UTF-8" standalone="yes"?>
<Relationships xmlns="http://schemas.openxmlformats.org/package/2006/relationships"><Relationship Id="rId3" Type="http://purl.oclc.org/ooxml/officeDocument/relationships/hyperlink" Target="http://www.treasury.gov.pg/html/national_budget/files/2020/2021%20Budget%25Volume%201.pdf" TargetMode="External"/><Relationship Id="rId7" Type="http://purl.oclc.org/ooxml/officeDocument/relationships/drawing" Target="../drawings/drawing12.xml"/><Relationship Id="rId2" Type="http://purl.oclc.org/ooxml/officeDocument/relationships/hyperlink" Target="http://www.treasury.gov.pg/html/national_budget/files/2020/2021%20Budget%25Volume%201.pdf" TargetMode="External"/><Relationship Id="rId1" Type="http://purl.oclc.org/ooxml/officeDocument/relationships/hyperlink" Target="https://www.treasury.gov.pg./html/national_budget/2019.html" TargetMode="External"/><Relationship Id="rId6" Type="http://schemas.openxmlformats.org/officeDocument/2006/relationships/vmlDrawing" Target="../drawings/vmlDrawing10.vml"/><Relationship Id="rId5" Type="http://purl.oclc.org/ooxml/officeDocument/relationships/printerSettings" Target="../printerSettings/printerSettings26.bin"/><Relationship Id="rId4" Type="http://purl.oclc.org/ooxml/officeDocument/relationships/hyperlink" Target="http://www.treasury.gov.pg/html/national_budget/files/2020/2021%20Budget%25Volume%201.pdf" TargetMode="External"/></Relationships>
</file>

<file path=xl/worksheets/_rels/sheet27.xml.rels><?xml version="1.0" encoding="UTF-8" standalone="yes"?>
<Relationships xmlns="http://schemas.openxmlformats.org/package/2006/relationships"><Relationship Id="rId2" Type="http://purl.oclc.org/ooxml/officeDocument/relationships/printerSettings" Target="../printerSettings/printerSettings27.bin"/><Relationship Id="rId1" Type="http://purl.oclc.org/ooxml/officeDocument/relationships/hyperlink" Target="http://www.pngeiti.org.pg/wp-content/uploads/2019/07/PNGEITI-Subnational-Payments-Report-May-2019.pdf%20%20The%20classification%20of%20whats%20mandatory%20expenditure%20is%20in%20accordance%20with%20Sub-national%20payments%20report%20pages%2082%20to%2083%20and%20pages%2065-66%20lists%20expenditures%20that%20are%20considered%20as%20mandatory." TargetMode="External"/></Relationships>
</file>

<file path=xl/worksheets/_rels/sheet28.xml.rels><?xml version="1.0" encoding="UTF-8" standalone="yes"?>
<Relationships xmlns="http://schemas.openxmlformats.org/package/2006/relationships"><Relationship Id="rId1" Type="http://purl.oclc.org/ooxml/officeDocument/relationships/printerSettings" Target="../printerSettings/printerSettings28.bin"/></Relationships>
</file>

<file path=xl/worksheets/_rels/sheet29.xml.rels><?xml version="1.0" encoding="UTF-8" standalone="yes"?>
<Relationships xmlns="http://schemas.openxmlformats.org/package/2006/relationships"><Relationship Id="rId3" Type="http://purl.oclc.org/ooxml/officeDocument/relationships/printerSettings" Target="../printerSettings/printerSettings29.bin"/><Relationship Id="rId2" Type="http://purl.oclc.org/ooxml/officeDocument/relationships/hyperlink" Target="http://www.treasury.gov.pg/html/national_budget/files/2021/2021%20Budget%20Volume%201.pdf" TargetMode="External"/><Relationship Id="rId1" Type="http://purl.oclc.org/ooxml/officeDocument/relationships/hyperlink" Target="https://unstats.un.org/unsd/nationalaccount/sna2008.asp" TargetMode="External"/></Relationships>
</file>

<file path=xl/worksheets/_rels/sheet30.xml.rels><?xml version="1.0" encoding="UTF-8" standalone="yes"?>
<Relationships xmlns="http://schemas.openxmlformats.org/package/2006/relationships"><Relationship Id="rId3" Type="http://purl.oclc.org/ooxml/officeDocument/relationships/printerSettings" Target="../printerSettings/printerSettings30.bin"/><Relationship Id="rId2" Type="http://purl.oclc.org/ooxml/officeDocument/relationships/hyperlink" Target="http://www.parliament.gov.pg/uploads/acts/14A_10.pdf" TargetMode="External"/><Relationship Id="rId1" Type="http://purl.oclc.org/ooxml/officeDocument/relationships/hyperlink" Target="http://www.parliament.gov.pg/uploads/acts/14A_10.pdf" TargetMode="External"/></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59BA5-871E-C54B-8AA3-7FC4F6597FF8}">
  <sheetPr codeName="Sheet1"/>
  <dimension ref="B1:G47"/>
  <sheetViews>
    <sheetView showGridLines="0" topLeftCell="A19" zoomScale="90" zoomScaleNormal="90" workbookViewId="0">
      <selection activeCell="C62" sqref="C62"/>
    </sheetView>
  </sheetViews>
  <sheetFormatPr defaultColWidth="4" defaultRowHeight="24" customHeight="1" x14ac:dyDescent="0.3"/>
  <cols>
    <col min="1" max="1" width="4" style="4"/>
    <col min="2" max="2" width="4" style="4" hidden="1" customWidth="1"/>
    <col min="3" max="3" width="76.5" style="4" customWidth="1"/>
    <col min="4" max="4" width="2.8984375" style="4" customWidth="1"/>
    <col min="5" max="5" width="56" style="4" customWidth="1"/>
    <col min="6" max="6" width="2.8984375" style="4" customWidth="1"/>
    <col min="7" max="7" width="50.5" style="4" customWidth="1"/>
    <col min="8" max="16384" width="4" style="4"/>
  </cols>
  <sheetData>
    <row r="1" spans="3:7" ht="15.75" customHeight="1" x14ac:dyDescent="0.3">
      <c r="C1" s="139"/>
    </row>
    <row r="2" spans="3:7" ht="15" x14ac:dyDescent="0.3"/>
    <row r="3" spans="3:7" ht="15" x14ac:dyDescent="0.3">
      <c r="E3" s="97"/>
      <c r="G3" s="97"/>
    </row>
    <row r="4" spans="3:7" ht="15" x14ac:dyDescent="0.3">
      <c r="E4" s="97" t="s">
        <v>0</v>
      </c>
      <c r="G4" s="337" t="d">
        <v>2022-01-25</v>
      </c>
    </row>
    <row r="5" spans="3:7" ht="15" x14ac:dyDescent="0.3">
      <c r="E5" s="97" t="s">
        <v>1</v>
      </c>
      <c r="G5" s="337" t="d">
        <v>2022-02-25</v>
      </c>
    </row>
    <row r="6" spans="3:7" ht="15" x14ac:dyDescent="0.3"/>
    <row r="7" spans="3:7" ht="3.75" customHeight="1" x14ac:dyDescent="0.3"/>
    <row r="8" spans="3:7" ht="3.75" customHeight="1" x14ac:dyDescent="0.3"/>
    <row r="9" spans="3:7" ht="15" x14ac:dyDescent="0.3"/>
    <row r="10" spans="3:7" ht="15" x14ac:dyDescent="0.3">
      <c r="C10" s="134"/>
      <c r="D10" s="204"/>
      <c r="E10" s="204"/>
      <c r="F10" s="135"/>
      <c r="G10" s="135"/>
    </row>
    <row r="11" spans="3:7" x14ac:dyDescent="0.3">
      <c r="C11" s="208" t="s">
        <v>2</v>
      </c>
      <c r="D11" s="136"/>
      <c r="E11" s="136"/>
      <c r="F11" s="135"/>
      <c r="G11" s="135"/>
    </row>
    <row r="12" spans="3:7" ht="16.2" x14ac:dyDescent="0.3">
      <c r="C12" s="182" t="s">
        <v>3</v>
      </c>
      <c r="D12" s="183"/>
      <c r="E12" s="183"/>
      <c r="F12" s="184"/>
      <c r="G12" s="184"/>
    </row>
    <row r="13" spans="3:7" ht="16.2" x14ac:dyDescent="0.3">
      <c r="C13" s="185"/>
      <c r="D13" s="186"/>
      <c r="E13" s="186"/>
      <c r="F13" s="184"/>
      <c r="G13" s="184"/>
    </row>
    <row r="14" spans="3:7" ht="16.2" x14ac:dyDescent="0.3">
      <c r="C14" s="187" t="s">
        <v>4</v>
      </c>
      <c r="D14" s="186"/>
      <c r="E14" s="186"/>
      <c r="F14" s="184"/>
      <c r="G14" s="184"/>
    </row>
    <row r="15" spans="3:7" ht="16.2" x14ac:dyDescent="0.3">
      <c r="C15" s="469"/>
      <c r="D15" s="469"/>
      <c r="E15" s="469"/>
      <c r="F15" s="184"/>
      <c r="G15" s="184"/>
    </row>
    <row r="16" spans="3:7" ht="16.2" x14ac:dyDescent="0.3">
      <c r="C16" s="202"/>
      <c r="D16" s="202"/>
      <c r="E16" s="202"/>
      <c r="F16" s="184"/>
      <c r="G16" s="184"/>
    </row>
    <row r="17" spans="3:7" ht="16.2" x14ac:dyDescent="0.3">
      <c r="C17" s="188" t="s">
        <v>5</v>
      </c>
      <c r="D17" s="189"/>
      <c r="E17" s="189"/>
      <c r="F17" s="184"/>
      <c r="G17" s="184"/>
    </row>
    <row r="18" spans="3:7" ht="16.2" x14ac:dyDescent="0.3">
      <c r="C18" s="190" t="s">
        <v>6</v>
      </c>
      <c r="D18" s="189"/>
      <c r="E18" s="189"/>
      <c r="F18" s="184"/>
      <c r="G18" s="184"/>
    </row>
    <row r="19" spans="3:7" ht="16.2" x14ac:dyDescent="0.3">
      <c r="C19" s="190" t="s">
        <v>7</v>
      </c>
      <c r="D19" s="189"/>
      <c r="E19" s="189"/>
      <c r="F19" s="184"/>
      <c r="G19" s="184"/>
    </row>
    <row r="20" spans="3:7" ht="30.9" customHeight="1" x14ac:dyDescent="0.35">
      <c r="C20" s="470" t="s">
        <v>8</v>
      </c>
      <c r="D20" s="470"/>
      <c r="E20" s="470"/>
      <c r="F20" s="184"/>
      <c r="G20" s="184"/>
    </row>
    <row r="21" spans="3:7" ht="32.25" customHeight="1" x14ac:dyDescent="0.35">
      <c r="C21" s="470" t="s">
        <v>9</v>
      </c>
      <c r="D21" s="470"/>
      <c r="E21" s="470"/>
      <c r="F21" s="184"/>
      <c r="G21" s="184"/>
    </row>
    <row r="22" spans="3:7" ht="16.2" x14ac:dyDescent="0.3">
      <c r="C22" s="189"/>
      <c r="D22" s="189"/>
      <c r="E22" s="189"/>
      <c r="F22" s="184"/>
      <c r="G22" s="184"/>
    </row>
    <row r="23" spans="3:7" ht="16.2" x14ac:dyDescent="0.3">
      <c r="C23" s="188" t="s">
        <v>10</v>
      </c>
      <c r="D23" s="190"/>
      <c r="E23" s="190"/>
      <c r="F23" s="184"/>
      <c r="G23" s="184"/>
    </row>
    <row r="24" spans="3:7" ht="16.2" x14ac:dyDescent="0.3">
      <c r="C24" s="191"/>
      <c r="D24" s="191"/>
      <c r="E24" s="191"/>
      <c r="F24" s="184"/>
      <c r="G24" s="184"/>
    </row>
    <row r="25" spans="3:7" ht="16.2" x14ac:dyDescent="0.35">
      <c r="C25" s="471" t="s">
        <v>11</v>
      </c>
      <c r="D25" s="471"/>
      <c r="E25" s="471"/>
      <c r="F25" s="471"/>
      <c r="G25" s="471"/>
    </row>
    <row r="26" spans="3:7" s="128" customFormat="1" ht="15" x14ac:dyDescent="0.35">
      <c r="C26" s="140"/>
      <c r="D26" s="140"/>
      <c r="E26" s="141"/>
    </row>
    <row r="27" spans="3:7" ht="15" x14ac:dyDescent="0.3">
      <c r="C27" s="127" t="s">
        <v>12</v>
      </c>
      <c r="E27" s="142" t="s">
        <v>13</v>
      </c>
      <c r="G27" s="129" t="s">
        <v>14</v>
      </c>
    </row>
    <row r="28" spans="3:7" s="128" customFormat="1" ht="15" x14ac:dyDescent="0.3">
      <c r="C28" s="143"/>
      <c r="E28" s="143"/>
      <c r="G28" s="143"/>
    </row>
    <row r="29" spans="3:7" ht="15" x14ac:dyDescent="0.35">
      <c r="C29" s="137" t="s">
        <v>15</v>
      </c>
      <c r="D29" s="138"/>
      <c r="E29" s="144"/>
      <c r="F29" s="135"/>
      <c r="G29" s="135"/>
    </row>
    <row r="30" spans="3:7" ht="15" x14ac:dyDescent="0.35">
      <c r="C30" s="209"/>
      <c r="D30" s="209"/>
      <c r="E30" s="145"/>
    </row>
    <row r="31" spans="3:7" ht="15" x14ac:dyDescent="0.3"/>
    <row r="32" spans="3:7" ht="15.75" customHeight="1" x14ac:dyDescent="0.3">
      <c r="C32" s="146" t="s">
        <v>16</v>
      </c>
      <c r="D32" s="147"/>
      <c r="E32" s="148" t="s">
        <v>17</v>
      </c>
      <c r="F32" s="149"/>
      <c r="G32" s="146" t="s">
        <v>18</v>
      </c>
    </row>
    <row r="33" spans="2:7" ht="43.5" customHeight="1" x14ac:dyDescent="0.3">
      <c r="C33" s="150" t="s">
        <v>19</v>
      </c>
      <c r="D33" s="147"/>
      <c r="E33" s="151" t="s">
        <v>20</v>
      </c>
      <c r="F33" s="152"/>
      <c r="G33" s="150" t="s">
        <v>21</v>
      </c>
    </row>
    <row r="34" spans="2:7" ht="31.5" customHeight="1" x14ac:dyDescent="0.3">
      <c r="C34" s="150" t="s">
        <v>22</v>
      </c>
      <c r="D34" s="147"/>
      <c r="E34" s="153" t="s">
        <v>23</v>
      </c>
      <c r="F34" s="152"/>
      <c r="G34" s="472" t="s">
        <v>24</v>
      </c>
    </row>
    <row r="35" spans="2:7" ht="24" customHeight="1" x14ac:dyDescent="0.3">
      <c r="C35" s="150" t="s">
        <v>25</v>
      </c>
      <c r="D35" s="147"/>
      <c r="E35" s="151" t="s">
        <v>26</v>
      </c>
      <c r="F35" s="152"/>
      <c r="G35" s="472"/>
    </row>
    <row r="36" spans="2:7" ht="48" customHeight="1" x14ac:dyDescent="0.3">
      <c r="C36" s="154" t="s">
        <v>27</v>
      </c>
      <c r="D36" s="147"/>
      <c r="E36" s="155" t="s">
        <v>28</v>
      </c>
      <c r="F36" s="156"/>
      <c r="G36" s="194"/>
    </row>
    <row r="37" spans="2:7" ht="12" customHeight="1" x14ac:dyDescent="0.3"/>
    <row r="38" spans="2:7" ht="15" x14ac:dyDescent="0.3">
      <c r="C38" s="209"/>
      <c r="D38" s="209"/>
      <c r="E38" s="209"/>
      <c r="F38" s="209"/>
    </row>
    <row r="39" spans="2:7" ht="15" x14ac:dyDescent="0.3">
      <c r="C39" s="205" t="s">
        <v>29</v>
      </c>
      <c r="D39" s="157"/>
      <c r="E39" s="158"/>
      <c r="F39" s="157"/>
      <c r="G39" s="157"/>
    </row>
    <row r="40" spans="2:7" ht="15" x14ac:dyDescent="0.3">
      <c r="C40" s="468" t="s">
        <v>30</v>
      </c>
      <c r="D40" s="468"/>
      <c r="E40" s="468"/>
      <c r="F40" s="468"/>
      <c r="G40" s="468"/>
    </row>
    <row r="41" spans="2:7" ht="15" x14ac:dyDescent="0.3">
      <c r="B41" s="86" t="s">
        <v>31</v>
      </c>
      <c r="C41" s="203" t="s">
        <v>32</v>
      </c>
      <c r="D41" s="86"/>
      <c r="E41" s="132"/>
      <c r="F41" s="86"/>
      <c r="G41" s="133"/>
    </row>
    <row r="42" spans="2:7" ht="15" x14ac:dyDescent="0.3"/>
    <row r="43" spans="2:7" ht="15" x14ac:dyDescent="0.3"/>
    <row r="44" spans="2:7" ht="15" x14ac:dyDescent="0.3"/>
    <row r="45" spans="2:7" ht="15" x14ac:dyDescent="0.3"/>
    <row r="46" spans="2:7" ht="15" x14ac:dyDescent="0.3"/>
    <row r="47" spans="2:7" ht="15" x14ac:dyDescent="0.3"/>
  </sheetData>
  <mergeCells count="6">
    <mergeCell ref="C40:G40"/>
    <mergeCell ref="C15:E15"/>
    <mergeCell ref="C20:E20"/>
    <mergeCell ref="C21:E21"/>
    <mergeCell ref="C25:G25"/>
    <mergeCell ref="G34:G35"/>
  </mergeCells>
  <pageMargins left="0.7" right="0.7" top="0.75" bottom="0.75" header="0.3" footer="0.3"/>
  <pageSetup paperSize="9" orientation="portrait" r:id="rId1"/>
  <drawing r:id="rId2"/>
</worksheet>
</file>

<file path=xl/worksheets/sheet2.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4246C-ABF1-9D46-8E18-C64EEC8FFF69}">
  <sheetPr codeName="Sheet2"/>
  <dimension ref="A1:H95"/>
  <sheetViews>
    <sheetView showGridLines="0" showRowColHeaders="0" topLeftCell="A10" zoomScale="62" zoomScaleNormal="62" workbookViewId="0">
      <selection activeCell="Y42" sqref="Y42"/>
    </sheetView>
  </sheetViews>
  <sheetFormatPr defaultColWidth="4" defaultRowHeight="24" customHeight="1" x14ac:dyDescent="0.3"/>
  <cols>
    <col min="1" max="1" width="4" style="250"/>
    <col min="2" max="2" width="4" style="250" hidden="1" customWidth="1"/>
    <col min="3" max="3" width="75" style="250" bestFit="1" customWidth="1"/>
    <col min="4" max="4" width="2.8984375" style="250" customWidth="1"/>
    <col min="5" max="5" width="44.5" style="250" bestFit="1" customWidth="1"/>
    <col min="6" max="6" width="2.8984375" style="250" customWidth="1"/>
    <col min="7" max="7" width="40" style="250" bestFit="1" customWidth="1"/>
    <col min="8" max="8" width="4" style="250"/>
    <col min="9" max="16384" width="4" style="125"/>
  </cols>
  <sheetData>
    <row r="1" spans="1:8" ht="16.2" x14ac:dyDescent="0.3">
      <c r="A1" s="125"/>
      <c r="B1" s="125"/>
      <c r="C1" s="125"/>
      <c r="D1" s="125"/>
      <c r="E1" s="125"/>
      <c r="F1" s="125"/>
      <c r="G1" s="125"/>
      <c r="H1" s="125"/>
    </row>
    <row r="2" spans="1:8" ht="16.2" x14ac:dyDescent="0.3">
      <c r="C2" s="477" t="s">
        <v>33</v>
      </c>
      <c r="D2" s="477"/>
      <c r="E2" s="477"/>
      <c r="F2" s="477"/>
      <c r="G2" s="477"/>
    </row>
    <row r="3" spans="1:8" s="126" customFormat="1" x14ac:dyDescent="0.3">
      <c r="A3" s="250"/>
      <c r="B3" s="250"/>
      <c r="C3" s="478" t="s">
        <v>34</v>
      </c>
      <c r="D3" s="478"/>
      <c r="E3" s="478"/>
      <c r="F3" s="478"/>
      <c r="G3" s="478"/>
      <c r="H3" s="250"/>
    </row>
    <row r="4" spans="1:8" ht="12.75" customHeight="1" x14ac:dyDescent="0.3">
      <c r="C4" s="479" t="s">
        <v>35</v>
      </c>
      <c r="D4" s="479"/>
      <c r="E4" s="479"/>
      <c r="F4" s="479"/>
      <c r="G4" s="479"/>
    </row>
    <row r="5" spans="1:8" ht="12.75" customHeight="1" x14ac:dyDescent="0.3">
      <c r="C5" s="480" t="s">
        <v>36</v>
      </c>
      <c r="D5" s="480"/>
      <c r="E5" s="480"/>
      <c r="F5" s="480"/>
      <c r="G5" s="480"/>
    </row>
    <row r="6" spans="1:8" ht="12.75" customHeight="1" x14ac:dyDescent="0.3">
      <c r="C6" s="480" t="s">
        <v>37</v>
      </c>
      <c r="D6" s="480"/>
      <c r="E6" s="480"/>
      <c r="F6" s="480"/>
      <c r="G6" s="480"/>
    </row>
    <row r="7" spans="1:8" ht="12.75" customHeight="1" x14ac:dyDescent="0.3">
      <c r="C7" s="481" t="s">
        <v>38</v>
      </c>
      <c r="D7" s="481"/>
      <c r="E7" s="481"/>
      <c r="F7" s="481"/>
      <c r="G7" s="481"/>
    </row>
    <row r="8" spans="1:8" ht="16.2" x14ac:dyDescent="0.3">
      <c r="D8" s="251"/>
      <c r="E8" s="251"/>
    </row>
    <row r="9" spans="1:8" ht="16.2" x14ac:dyDescent="0.3">
      <c r="C9" s="252" t="s">
        <v>39</v>
      </c>
      <c r="D9" s="253"/>
      <c r="E9" s="254" t="s">
        <v>40</v>
      </c>
      <c r="F9" s="253"/>
      <c r="G9" s="255" t="s">
        <v>14</v>
      </c>
    </row>
    <row r="10" spans="1:8" ht="16.2" x14ac:dyDescent="0.3">
      <c r="D10" s="251"/>
      <c r="E10" s="251"/>
    </row>
    <row r="11" spans="1:8" s="126" customFormat="1" x14ac:dyDescent="0.3">
      <c r="A11" s="250"/>
      <c r="B11" s="256"/>
      <c r="C11" s="257" t="s">
        <v>41</v>
      </c>
      <c r="D11" s="250"/>
      <c r="E11" s="258"/>
      <c r="F11" s="250"/>
      <c r="G11" s="250"/>
      <c r="H11" s="250"/>
    </row>
    <row r="12" spans="1:8" ht="16.8" thickBot="1" x14ac:dyDescent="0.35">
      <c r="A12" s="259"/>
      <c r="B12" s="259"/>
      <c r="C12" s="260" t="s">
        <v>42</v>
      </c>
      <c r="D12" s="261"/>
      <c r="E12" s="262" t="s">
        <v>43</v>
      </c>
      <c r="F12" s="261"/>
      <c r="G12" s="263" t="s">
        <v>44</v>
      </c>
    </row>
    <row r="13" spans="1:8" ht="16.8" thickBot="1" x14ac:dyDescent="0.35">
      <c r="B13" s="264"/>
      <c r="C13" s="265" t="s">
        <v>31</v>
      </c>
      <c r="D13" s="266"/>
      <c r="E13" s="267"/>
      <c r="F13" s="266"/>
      <c r="G13" s="267"/>
    </row>
    <row r="14" spans="1:8" ht="16.2" x14ac:dyDescent="0.3">
      <c r="A14" s="268"/>
      <c r="B14" s="268" t="s">
        <v>31</v>
      </c>
      <c r="C14" s="269" t="s">
        <v>45</v>
      </c>
      <c r="D14" s="268"/>
      <c r="E14" s="270" t="s">
        <v>46</v>
      </c>
      <c r="F14" s="268"/>
      <c r="G14" s="271"/>
    </row>
    <row r="15" spans="1:8" ht="16.2" x14ac:dyDescent="0.3">
      <c r="A15" s="268"/>
      <c r="B15" s="268" t="s">
        <v>31</v>
      </c>
      <c r="C15" s="269" t="s">
        <v>47</v>
      </c>
      <c r="D15" s="268"/>
      <c r="E15" s="272" t="s">
        <v>48</v>
      </c>
      <c r="F15" s="268"/>
      <c r="G15" s="271"/>
    </row>
    <row r="16" spans="1:8" ht="16.2" x14ac:dyDescent="0.3">
      <c r="B16" s="268" t="s">
        <v>31</v>
      </c>
      <c r="C16" s="269" t="s">
        <v>49</v>
      </c>
      <c r="D16" s="268"/>
      <c r="E16" s="272" t="s">
        <v>50</v>
      </c>
      <c r="F16" s="268"/>
      <c r="G16" s="271"/>
    </row>
    <row r="17" spans="1:7" ht="16.8" thickBot="1" x14ac:dyDescent="0.35">
      <c r="B17" s="268" t="s">
        <v>31</v>
      </c>
      <c r="C17" s="273" t="s">
        <v>51</v>
      </c>
      <c r="D17" s="274"/>
      <c r="E17" s="275" t="s">
        <v>52</v>
      </c>
      <c r="F17" s="274"/>
      <c r="G17" s="276"/>
    </row>
    <row r="18" spans="1:7" ht="16.8" thickBot="1" x14ac:dyDescent="0.35">
      <c r="B18" s="264"/>
      <c r="C18" s="265" t="s">
        <v>53</v>
      </c>
      <c r="D18" s="266"/>
      <c r="E18" s="267"/>
      <c r="F18" s="266"/>
      <c r="G18" s="267"/>
    </row>
    <row r="19" spans="1:7" ht="16.2" x14ac:dyDescent="0.3">
      <c r="A19" s="268"/>
      <c r="B19" s="268" t="s">
        <v>53</v>
      </c>
      <c r="C19" s="269" t="s">
        <v>54</v>
      </c>
      <c r="D19" s="268"/>
      <c r="E19" s="277" t="d">
        <v>2019-01-01</v>
      </c>
      <c r="F19" s="268"/>
      <c r="G19" s="271"/>
    </row>
    <row r="20" spans="1:7" ht="16.8" thickBot="1" x14ac:dyDescent="0.35">
      <c r="A20" s="268"/>
      <c r="B20" s="268" t="s">
        <v>53</v>
      </c>
      <c r="C20" s="273" t="s">
        <v>55</v>
      </c>
      <c r="D20" s="274"/>
      <c r="E20" s="277" t="d">
        <v>2019-12-31</v>
      </c>
      <c r="F20" s="274"/>
      <c r="G20" s="276"/>
    </row>
    <row r="21" spans="1:7" ht="16.8" thickBot="1" x14ac:dyDescent="0.35">
      <c r="B21" s="264"/>
      <c r="C21" s="265" t="s">
        <v>56</v>
      </c>
      <c r="D21" s="266"/>
      <c r="E21" s="278"/>
      <c r="F21" s="266"/>
      <c r="G21" s="267"/>
    </row>
    <row r="22" spans="1:7" ht="16.2" x14ac:dyDescent="0.3">
      <c r="B22" s="268" t="s">
        <v>56</v>
      </c>
      <c r="C22" s="279" t="s">
        <v>57</v>
      </c>
      <c r="D22" s="268"/>
      <c r="E22" s="270" t="s">
        <v>58</v>
      </c>
      <c r="F22" s="268"/>
      <c r="G22" s="271"/>
    </row>
    <row r="23" spans="1:7" ht="16.2" x14ac:dyDescent="0.3">
      <c r="A23" s="268"/>
      <c r="B23" s="268" t="s">
        <v>56</v>
      </c>
      <c r="C23" s="269" t="s">
        <v>59</v>
      </c>
      <c r="D23" s="268"/>
      <c r="E23" s="280" t="s">
        <v>60</v>
      </c>
      <c r="F23" s="268"/>
      <c r="G23" s="271"/>
    </row>
    <row r="24" spans="1:7" ht="16.2" x14ac:dyDescent="0.3">
      <c r="B24" s="268" t="s">
        <v>56</v>
      </c>
      <c r="C24" s="269" t="s">
        <v>61</v>
      </c>
      <c r="D24" s="268"/>
      <c r="E24" s="281" t="d">
        <v>2021-07-21</v>
      </c>
      <c r="F24" s="268"/>
      <c r="G24" s="271"/>
    </row>
    <row r="25" spans="1:7" ht="16.2" x14ac:dyDescent="0.3">
      <c r="A25" s="268"/>
      <c r="B25" s="268" t="s">
        <v>56</v>
      </c>
      <c r="C25" s="269" t="s">
        <v>62</v>
      </c>
      <c r="D25" s="268"/>
      <c r="E25" s="369" t="s">
        <v>63</v>
      </c>
      <c r="F25" s="268"/>
      <c r="G25" s="271"/>
    </row>
    <row r="26" spans="1:7" ht="16.2" x14ac:dyDescent="0.3">
      <c r="B26" s="268" t="s">
        <v>56</v>
      </c>
      <c r="C26" s="282" t="s">
        <v>64</v>
      </c>
      <c r="D26" s="283"/>
      <c r="E26" s="280" t="s">
        <v>58</v>
      </c>
      <c r="F26" s="283"/>
      <c r="G26" s="284"/>
    </row>
    <row r="27" spans="1:7" ht="16.2" x14ac:dyDescent="0.3">
      <c r="B27" s="268" t="s">
        <v>56</v>
      </c>
      <c r="C27" s="269" t="s">
        <v>65</v>
      </c>
      <c r="D27" s="268"/>
      <c r="E27" s="281" t="d">
        <v>2021-07-21</v>
      </c>
      <c r="F27" s="268"/>
      <c r="G27" s="286"/>
    </row>
    <row r="28" spans="1:7" ht="16.2" x14ac:dyDescent="0.3">
      <c r="A28" s="268"/>
      <c r="B28" s="268" t="s">
        <v>56</v>
      </c>
      <c r="C28" s="269" t="s">
        <v>66</v>
      </c>
      <c r="D28" s="268"/>
      <c r="E28" s="369" t="s">
        <v>67</v>
      </c>
      <c r="F28" s="268"/>
      <c r="G28" s="286"/>
    </row>
    <row r="29" spans="1:7" ht="16.2" x14ac:dyDescent="0.3">
      <c r="B29" s="268" t="s">
        <v>56</v>
      </c>
      <c r="C29" s="282" t="s">
        <v>68</v>
      </c>
      <c r="D29" s="283"/>
      <c r="E29" s="280" t="s">
        <v>58</v>
      </c>
      <c r="F29" s="287"/>
      <c r="G29" s="288"/>
    </row>
    <row r="30" spans="1:7" ht="16.2" x14ac:dyDescent="0.3">
      <c r="A30" s="268"/>
      <c r="B30" s="268" t="s">
        <v>56</v>
      </c>
      <c r="C30" s="269" t="s">
        <v>69</v>
      </c>
      <c r="D30" s="268"/>
      <c r="E30" s="285"/>
      <c r="F30" s="268"/>
      <c r="G30" s="271"/>
    </row>
    <row r="31" spans="1:7" ht="16.8" thickBot="1" x14ac:dyDescent="0.35">
      <c r="A31" s="268"/>
      <c r="B31" s="268" t="s">
        <v>56</v>
      </c>
      <c r="C31" s="269" t="s">
        <v>70</v>
      </c>
      <c r="D31" s="289"/>
      <c r="E31" s="290" t="str">
        <f>IF(OR($E$29=[1]Lists!$I$4,$E$29=[1]Lists!$I$5),"&lt;URL&gt;","")</f>
        <v>&lt;URL&gt;</v>
      </c>
      <c r="F31" s="274"/>
      <c r="G31" s="291"/>
    </row>
    <row r="32" spans="1:7" ht="15.9" customHeight="1" thickBot="1" x14ac:dyDescent="0.35">
      <c r="C32" s="292" t="s">
        <v>71</v>
      </c>
      <c r="D32" s="293"/>
      <c r="E32" s="294"/>
      <c r="F32" s="295"/>
      <c r="G32" s="296"/>
    </row>
    <row r="33" spans="1:8" ht="16.2" x14ac:dyDescent="0.3">
      <c r="A33" s="268"/>
      <c r="B33" s="297"/>
      <c r="C33" s="298" t="s">
        <v>72</v>
      </c>
      <c r="D33" s="268"/>
      <c r="E33" s="299" t="s">
        <v>73</v>
      </c>
      <c r="G33" s="322"/>
    </row>
    <row r="34" spans="1:8" ht="42" thickBot="1" x14ac:dyDescent="0.35">
      <c r="B34" s="268" t="s">
        <v>74</v>
      </c>
      <c r="C34" s="300" t="s">
        <v>75</v>
      </c>
      <c r="D34" s="274"/>
      <c r="E34" s="321" t="s">
        <v>76</v>
      </c>
      <c r="F34" s="266"/>
      <c r="G34" s="301"/>
    </row>
    <row r="35" spans="1:8" ht="18" customHeight="1" thickBot="1" x14ac:dyDescent="0.35">
      <c r="A35" s="268"/>
      <c r="B35" s="268" t="s">
        <v>74</v>
      </c>
      <c r="C35" s="265" t="s">
        <v>74</v>
      </c>
      <c r="D35" s="266"/>
      <c r="E35" s="295"/>
      <c r="F35" s="266"/>
      <c r="G35" s="295"/>
    </row>
    <row r="36" spans="1:8" ht="15.75" customHeight="1" x14ac:dyDescent="0.3">
      <c r="B36" s="268" t="s">
        <v>74</v>
      </c>
      <c r="C36" s="302" t="s">
        <v>77</v>
      </c>
      <c r="D36" s="268"/>
      <c r="E36" s="272"/>
      <c r="F36" s="268"/>
      <c r="G36" s="268"/>
    </row>
    <row r="37" spans="1:8" ht="16.5" customHeight="1" x14ac:dyDescent="0.3">
      <c r="A37" s="268"/>
      <c r="B37" s="268" t="s">
        <v>74</v>
      </c>
      <c r="C37" s="303" t="s">
        <v>78</v>
      </c>
      <c r="D37" s="268"/>
      <c r="E37" s="280" t="s">
        <v>58</v>
      </c>
      <c r="F37" s="268"/>
      <c r="G37" s="286"/>
    </row>
    <row r="38" spans="1:8" ht="16.5" customHeight="1" x14ac:dyDescent="0.3">
      <c r="A38" s="268"/>
      <c r="B38" s="268" t="s">
        <v>74</v>
      </c>
      <c r="C38" s="303" t="s">
        <v>79</v>
      </c>
      <c r="D38" s="268"/>
      <c r="E38" s="280" t="s">
        <v>58</v>
      </c>
      <c r="F38" s="268"/>
      <c r="G38" s="286"/>
    </row>
    <row r="39" spans="1:8" ht="15.75" customHeight="1" x14ac:dyDescent="0.3">
      <c r="B39" s="268" t="s">
        <v>74</v>
      </c>
      <c r="C39" s="303" t="s">
        <v>80</v>
      </c>
      <c r="D39" s="268"/>
      <c r="E39" s="280" t="s">
        <v>58</v>
      </c>
      <c r="F39" s="268"/>
      <c r="G39" s="286"/>
    </row>
    <row r="40" spans="1:8" ht="18" customHeight="1" x14ac:dyDescent="0.3">
      <c r="B40" s="268" t="s">
        <v>74</v>
      </c>
      <c r="C40" s="303" t="s">
        <v>81</v>
      </c>
      <c r="D40" s="268"/>
      <c r="E40" s="280" t="s">
        <v>82</v>
      </c>
      <c r="F40" s="268"/>
      <c r="G40" s="286"/>
    </row>
    <row r="41" spans="1:8" ht="16.2" x14ac:dyDescent="0.3">
      <c r="B41" s="268" t="s">
        <v>74</v>
      </c>
      <c r="C41" s="304" t="s">
        <v>83</v>
      </c>
      <c r="D41" s="268"/>
      <c r="E41" s="280" t="s">
        <v>84</v>
      </c>
      <c r="F41" s="268"/>
      <c r="G41" s="286"/>
    </row>
    <row r="42" spans="1:8" ht="16.2" x14ac:dyDescent="0.3">
      <c r="B42" s="268" t="s">
        <v>74</v>
      </c>
      <c r="C42" s="303" t="s">
        <v>85</v>
      </c>
      <c r="D42" s="268"/>
      <c r="E42" s="280">
        <v>10</v>
      </c>
      <c r="F42" s="268"/>
      <c r="G42" s="286"/>
    </row>
    <row r="43" spans="1:8" ht="16.2" x14ac:dyDescent="0.3">
      <c r="B43" s="268" t="s">
        <v>74</v>
      </c>
      <c r="C43" s="303" t="s">
        <v>86</v>
      </c>
      <c r="D43" s="305"/>
      <c r="E43" s="280">
        <v>37</v>
      </c>
      <c r="F43" s="268"/>
      <c r="G43" s="306"/>
    </row>
    <row r="44" spans="1:8" ht="16.2" x14ac:dyDescent="0.3">
      <c r="B44" s="268" t="s">
        <v>74</v>
      </c>
      <c r="C44" s="307" t="s">
        <v>87</v>
      </c>
      <c r="D44" s="268"/>
      <c r="E44" s="308" t="s">
        <v>52</v>
      </c>
      <c r="F44" s="283"/>
      <c r="G44" s="286"/>
    </row>
    <row r="45" spans="1:8" ht="16.2" x14ac:dyDescent="0.3">
      <c r="B45" s="268" t="s">
        <v>74</v>
      </c>
      <c r="C45" s="309" t="s">
        <v>88</v>
      </c>
      <c r="D45" s="268"/>
      <c r="E45" s="338">
        <v>3.3898999999999999</v>
      </c>
      <c r="F45" s="268"/>
      <c r="G45" s="286"/>
    </row>
    <row r="46" spans="1:8" ht="31.8" thickBot="1" x14ac:dyDescent="0.35">
      <c r="B46" s="268" t="s">
        <v>74</v>
      </c>
      <c r="C46" s="310" t="s">
        <v>89</v>
      </c>
      <c r="D46" s="274"/>
      <c r="E46" s="371" t="s">
        <v>90</v>
      </c>
      <c r="F46" s="274"/>
      <c r="G46" s="311"/>
    </row>
    <row r="47" spans="1:8" s="130" customFormat="1" ht="16.8" thickBot="1" x14ac:dyDescent="0.35">
      <c r="A47" s="250"/>
      <c r="B47" s="268" t="s">
        <v>74</v>
      </c>
      <c r="C47" s="312" t="s">
        <v>91</v>
      </c>
      <c r="D47" s="274"/>
      <c r="E47" s="313"/>
      <c r="F47" s="274"/>
      <c r="G47" s="311"/>
      <c r="H47" s="259"/>
    </row>
    <row r="48" spans="1:8" ht="15.75" customHeight="1" x14ac:dyDescent="0.3">
      <c r="B48" s="268" t="s">
        <v>74</v>
      </c>
      <c r="C48" s="303" t="s">
        <v>92</v>
      </c>
      <c r="D48" s="268"/>
      <c r="E48" s="280" t="s">
        <v>58</v>
      </c>
      <c r="F48" s="268"/>
      <c r="G48" s="286"/>
    </row>
    <row r="49" spans="1:8" s="131" customFormat="1" ht="16.2" x14ac:dyDescent="0.3">
      <c r="A49" s="250"/>
      <c r="B49" s="268"/>
      <c r="C49" s="303" t="s">
        <v>93</v>
      </c>
      <c r="D49" s="268"/>
      <c r="E49" s="280" t="s">
        <v>58</v>
      </c>
      <c r="F49" s="268"/>
      <c r="G49" s="286"/>
      <c r="H49" s="268"/>
    </row>
    <row r="50" spans="1:8" s="131" customFormat="1" ht="15.75" customHeight="1" x14ac:dyDescent="0.3">
      <c r="A50" s="250"/>
      <c r="B50" s="268"/>
      <c r="C50" s="303" t="s">
        <v>94</v>
      </c>
      <c r="D50" s="268"/>
      <c r="E50" s="280" t="s">
        <v>58</v>
      </c>
      <c r="F50" s="268"/>
      <c r="G50" s="286"/>
      <c r="H50" s="268"/>
    </row>
    <row r="51" spans="1:8" ht="16.8" thickBot="1" x14ac:dyDescent="0.35">
      <c r="B51" s="268"/>
      <c r="C51" s="314" t="s">
        <v>95</v>
      </c>
      <c r="D51" s="274"/>
      <c r="E51" s="280" t="s">
        <v>58</v>
      </c>
      <c r="F51" s="274"/>
      <c r="G51" s="311"/>
    </row>
    <row r="52" spans="1:8" ht="16.8" thickBot="1" x14ac:dyDescent="0.35">
      <c r="B52" s="268" t="s">
        <v>96</v>
      </c>
      <c r="C52" s="315" t="s">
        <v>97</v>
      </c>
      <c r="D52" s="316"/>
      <c r="E52" s="317"/>
      <c r="F52" s="316"/>
      <c r="G52" s="316"/>
    </row>
    <row r="53" spans="1:8" ht="16.2" x14ac:dyDescent="0.3">
      <c r="B53" s="268" t="s">
        <v>96</v>
      </c>
      <c r="C53" s="269" t="s">
        <v>98</v>
      </c>
      <c r="D53" s="268"/>
      <c r="E53" s="270"/>
      <c r="F53" s="268"/>
      <c r="G53" s="271"/>
    </row>
    <row r="54" spans="1:8" s="131" customFormat="1" ht="16.2" x14ac:dyDescent="0.3">
      <c r="A54" s="250"/>
      <c r="B54" s="250"/>
      <c r="C54" s="269" t="s">
        <v>99</v>
      </c>
      <c r="D54" s="268"/>
      <c r="E54" s="270"/>
      <c r="F54" s="268"/>
      <c r="G54" s="271"/>
      <c r="H54" s="268"/>
    </row>
    <row r="55" spans="1:8" s="131" customFormat="1" ht="16.2" x14ac:dyDescent="0.3">
      <c r="A55" s="250"/>
      <c r="B55" s="250"/>
      <c r="C55" s="269" t="s">
        <v>100</v>
      </c>
      <c r="D55" s="268"/>
      <c r="E55" s="320"/>
      <c r="F55" s="268"/>
      <c r="G55" s="271"/>
      <c r="H55" s="268"/>
    </row>
    <row r="56" spans="1:8" ht="15" customHeight="1" thickBot="1" x14ac:dyDescent="0.35">
      <c r="C56" s="318"/>
      <c r="D56" s="274"/>
      <c r="E56" s="275"/>
      <c r="F56" s="274"/>
      <c r="G56" s="289"/>
    </row>
    <row r="57" spans="1:8" ht="16.8" thickBot="1" x14ac:dyDescent="0.35">
      <c r="C57" s="482"/>
      <c r="D57" s="482"/>
      <c r="E57" s="482"/>
      <c r="F57" s="482"/>
      <c r="G57" s="482"/>
    </row>
    <row r="58" spans="1:8" s="131" customFormat="1" ht="16.8" thickBot="1" x14ac:dyDescent="0.35">
      <c r="A58" s="250"/>
      <c r="B58" s="250"/>
      <c r="C58" s="483"/>
      <c r="D58" s="484"/>
      <c r="E58" s="484"/>
      <c r="F58" s="484"/>
      <c r="G58" s="485"/>
      <c r="H58" s="268"/>
    </row>
    <row r="59" spans="1:8" ht="16.8" thickBot="1" x14ac:dyDescent="0.35">
      <c r="C59" s="483"/>
      <c r="D59" s="484"/>
      <c r="E59" s="484"/>
      <c r="F59" s="484"/>
      <c r="G59" s="485"/>
    </row>
    <row r="60" spans="1:8" ht="16.8" thickBot="1" x14ac:dyDescent="0.35">
      <c r="C60" s="486"/>
      <c r="D60" s="486"/>
      <c r="E60" s="486"/>
      <c r="F60" s="486"/>
      <c r="G60" s="486"/>
    </row>
    <row r="61" spans="1:8" ht="16.2" x14ac:dyDescent="0.3">
      <c r="C61" s="487" t="s">
        <v>29</v>
      </c>
      <c r="D61" s="487"/>
      <c r="E61" s="487"/>
      <c r="F61" s="487"/>
      <c r="G61" s="487"/>
    </row>
    <row r="62" spans="1:8" s="131" customFormat="1" ht="16.2" x14ac:dyDescent="0.3">
      <c r="A62" s="250"/>
      <c r="B62" s="250"/>
      <c r="C62" s="476" t="s">
        <v>101</v>
      </c>
      <c r="D62" s="476"/>
      <c r="E62" s="476"/>
      <c r="F62" s="476"/>
      <c r="G62" s="476"/>
      <c r="H62" s="268"/>
    </row>
    <row r="63" spans="1:8" s="4" customFormat="1" ht="15" x14ac:dyDescent="0.3">
      <c r="A63" s="250"/>
      <c r="B63" s="268" t="s">
        <v>31</v>
      </c>
      <c r="C63" s="474" t="s">
        <v>102</v>
      </c>
      <c r="D63" s="474"/>
      <c r="E63" s="474"/>
      <c r="F63" s="474"/>
      <c r="G63" s="474"/>
      <c r="H63" s="250"/>
    </row>
    <row r="64" spans="1:8" s="4" customFormat="1" ht="15" x14ac:dyDescent="0.3">
      <c r="A64" s="250"/>
      <c r="B64" s="250"/>
      <c r="C64" s="294"/>
      <c r="D64" s="268"/>
      <c r="E64" s="294"/>
      <c r="F64" s="268"/>
      <c r="G64" s="268"/>
      <c r="H64" s="250"/>
    </row>
    <row r="65" spans="1:8" s="4" customFormat="1" ht="15" x14ac:dyDescent="0.3">
      <c r="A65" s="250"/>
      <c r="B65" s="250"/>
      <c r="C65" s="319"/>
      <c r="D65" s="319"/>
      <c r="E65" s="319"/>
      <c r="F65" s="319"/>
      <c r="G65" s="250"/>
      <c r="H65" s="250"/>
    </row>
    <row r="66" spans="1:8" s="4" customFormat="1" ht="18.75" customHeight="1" x14ac:dyDescent="0.3">
      <c r="A66" s="250"/>
      <c r="B66" s="250"/>
      <c r="C66" s="250"/>
      <c r="D66" s="250"/>
      <c r="E66" s="250"/>
      <c r="F66" s="250"/>
      <c r="G66" s="250"/>
      <c r="H66" s="250"/>
    </row>
    <row r="67" spans="1:8" s="4" customFormat="1" ht="15" x14ac:dyDescent="0.3">
      <c r="A67" s="250"/>
      <c r="B67" s="250"/>
      <c r="C67" s="475"/>
      <c r="D67" s="475"/>
      <c r="E67" s="475"/>
      <c r="F67" s="475"/>
      <c r="G67" s="475"/>
      <c r="H67" s="250"/>
    </row>
    <row r="68" spans="1:8" s="4" customFormat="1" ht="15" x14ac:dyDescent="0.3">
      <c r="A68" s="250"/>
      <c r="B68" s="250"/>
      <c r="C68" s="475"/>
      <c r="D68" s="475"/>
      <c r="E68" s="475"/>
      <c r="F68" s="475"/>
      <c r="G68" s="475"/>
      <c r="H68" s="250"/>
    </row>
    <row r="69" spans="1:8" ht="16.2" x14ac:dyDescent="0.3">
      <c r="C69" s="475"/>
      <c r="D69" s="475"/>
      <c r="E69" s="475"/>
      <c r="F69" s="475"/>
      <c r="G69" s="475"/>
    </row>
    <row r="70" spans="1:8" ht="15" customHeight="1" x14ac:dyDescent="0.3">
      <c r="C70" s="475"/>
      <c r="D70" s="475"/>
      <c r="E70" s="475"/>
      <c r="F70" s="475"/>
      <c r="G70" s="475"/>
    </row>
    <row r="71" spans="1:8" ht="15" customHeight="1" x14ac:dyDescent="0.3">
      <c r="C71" s="319"/>
      <c r="D71" s="319"/>
      <c r="E71" s="319"/>
      <c r="F71" s="319"/>
    </row>
    <row r="72" spans="1:8" ht="16.2" x14ac:dyDescent="0.3">
      <c r="C72" s="473"/>
      <c r="D72" s="473"/>
      <c r="E72" s="473"/>
    </row>
    <row r="73" spans="1:8" ht="16.2" x14ac:dyDescent="0.3">
      <c r="C73" s="473"/>
      <c r="D73" s="473"/>
      <c r="E73" s="473"/>
    </row>
    <row r="74" spans="1:8" ht="18.75" customHeight="1" x14ac:dyDescent="0.3"/>
    <row r="75" spans="1:8" ht="16.2" x14ac:dyDescent="0.3"/>
    <row r="76" spans="1:8" ht="16.2" x14ac:dyDescent="0.3"/>
    <row r="77" spans="1:8" ht="16.2" x14ac:dyDescent="0.3"/>
    <row r="78" spans="1:8" ht="16.2" x14ac:dyDescent="0.3"/>
    <row r="79" spans="1:8" ht="16.2" x14ac:dyDescent="0.3"/>
    <row r="80" spans="1:8" ht="16.2" x14ac:dyDescent="0.3"/>
    <row r="81" ht="16.2" x14ac:dyDescent="0.3"/>
    <row r="82" ht="16.2" x14ac:dyDescent="0.3"/>
    <row r="83" ht="16.2" x14ac:dyDescent="0.3"/>
    <row r="84" ht="16.2" x14ac:dyDescent="0.3"/>
    <row r="85" ht="16.2" x14ac:dyDescent="0.3"/>
    <row r="86" ht="16.2" x14ac:dyDescent="0.3"/>
    <row r="87" ht="16.2" x14ac:dyDescent="0.3"/>
    <row r="88" ht="16.2" x14ac:dyDescent="0.3"/>
    <row r="89" ht="16.2" x14ac:dyDescent="0.3"/>
    <row r="90" ht="16.2" x14ac:dyDescent="0.3"/>
    <row r="91" ht="16.2" x14ac:dyDescent="0.3"/>
    <row r="92" ht="16.2" x14ac:dyDescent="0.3"/>
    <row r="93" ht="16.2" x14ac:dyDescent="0.3"/>
    <row r="94" ht="16.2" x14ac:dyDescent="0.3"/>
    <row r="95" ht="16.2" x14ac:dyDescent="0.3"/>
  </sheetData>
  <sheetProtection selectLockedCells="1"/>
  <dataConsolidate/>
  <mergeCells count="19">
    <mergeCell ref="C62:G62"/>
    <mergeCell ref="C2:G2"/>
    <mergeCell ref="C3:G3"/>
    <mergeCell ref="C4:G4"/>
    <mergeCell ref="C5:G5"/>
    <mergeCell ref="C6:G6"/>
    <mergeCell ref="C7:G7"/>
    <mergeCell ref="C57:G57"/>
    <mergeCell ref="C58:G58"/>
    <mergeCell ref="C59:G59"/>
    <mergeCell ref="C60:G60"/>
    <mergeCell ref="C61:G61"/>
    <mergeCell ref="C73:E73"/>
    <mergeCell ref="C63:G63"/>
    <mergeCell ref="C67:G67"/>
    <mergeCell ref="C68:G68"/>
    <mergeCell ref="C69:G69"/>
    <mergeCell ref="C70:G70"/>
    <mergeCell ref="C72:E72"/>
  </mergeCells>
  <hyperlinks>
    <hyperlink ref="C44" r:id="rId1" display="Reporting currency (ISO-4217)" xr:uid="{65BE80BA-7A41-BD4F-B703-0ED9302D5191}"/>
    <hyperlink ref="C47" r:id="rId2" location="r4-7" xr:uid="{7A359257-999D-C84E-AC34-C298DA2FA2BF}"/>
    <hyperlink ref="C32" r:id="rId3" location="r7-2" display="Public debate (Requirement 7.1)" xr:uid="{4F484D37-0FB4-6142-9208-D8B82B503418}"/>
    <hyperlink ref="E25" r:id="rId4" xr:uid="{8721A00C-1339-4D7C-9751-4B992FD062B1}"/>
    <hyperlink ref="E34" r:id="rId5" xr:uid="{B30579B4-20DE-4A36-A148-580D4454F5A2}"/>
    <hyperlink ref="E28" r:id="rId6" xr:uid="{EF9C2081-E409-488F-AFC0-5E66189B15C9}"/>
    <hyperlink ref="E46" r:id="rId7" xr:uid="{CA6A1A9D-8E0F-475E-8FC9-F579669DD005}"/>
  </hyperlinks>
  <pageMargins left="0.25" right="0.25" top="0.75" bottom="0.75" header="0.3" footer="0.3"/>
  <pageSetup paperSize="8" fitToHeight="0" orientation="landscape" horizontalDpi="2400" verticalDpi="2400" r:id="rId8"/>
  <drawing r:id="rId9"/>
  <mc:AlternateContent xmlns:mc="http://schemas.openxmlformats.org/markup-compatibility/2006">
    <mc:Choice Requires="v">
      <legacyDrawing r:id="rId10"/>
    </mc:Choice>
  </mc:AlternateContent>
</worksheet>
</file>

<file path=xl/worksheets/sheet3.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6749B-3E9E-B647-8AEA-6784F9E739CD}">
  <sheetPr codeName="Sheet3"/>
  <dimension ref="A1:S28"/>
  <sheetViews>
    <sheetView topLeftCell="K15" zoomScaleNormal="100" zoomScalePageLayoutView="80" workbookViewId="0">
      <selection activeCell="P16" sqref="P16"/>
    </sheetView>
  </sheetViews>
  <sheetFormatPr defaultColWidth="10.5" defaultRowHeight="13.8" x14ac:dyDescent="0.3"/>
  <cols>
    <col min="1" max="1" width="14" style="219" customWidth="1"/>
    <col min="2" max="2" width="48" style="220" customWidth="1"/>
    <col min="3" max="3" width="3" style="220" customWidth="1"/>
    <col min="4" max="4" width="34.5" style="220" customWidth="1"/>
    <col min="5" max="5" width="3" style="220" customWidth="1"/>
    <col min="6" max="6" width="53.59765625" style="220" customWidth="1"/>
    <col min="7" max="7" width="3" style="220" customWidth="1"/>
    <col min="8" max="8" width="47.3984375" style="220" customWidth="1"/>
    <col min="9" max="9" width="3" style="220" customWidth="1"/>
    <col min="10" max="10" width="39" style="220" customWidth="1"/>
    <col min="11" max="11" width="3" style="220" customWidth="1"/>
    <col min="12" max="12" width="39.5" style="220" customWidth="1"/>
    <col min="13" max="13" width="3" style="220" customWidth="1"/>
    <col min="14" max="14" width="39.5" style="220" customWidth="1"/>
    <col min="15" max="15" width="3" style="220" customWidth="1"/>
    <col min="16" max="16" width="57.69921875" style="455" customWidth="1"/>
    <col min="17" max="17" width="3" style="220" customWidth="1"/>
    <col min="18" max="18" width="39.5" style="220" customWidth="1"/>
    <col min="19" max="19" width="3" style="220" customWidth="1"/>
    <col min="20" max="16384" width="10.5" style="220"/>
  </cols>
  <sheetData>
    <row r="1" spans="1:19" x14ac:dyDescent="0.3">
      <c r="A1" s="219" t="s">
        <v>103</v>
      </c>
    </row>
    <row r="3" spans="1:19" s="223" customFormat="1" ht="69" x14ac:dyDescent="0.3">
      <c r="A3" s="221" t="s">
        <v>104</v>
      </c>
      <c r="B3" s="222" t="s">
        <v>105</v>
      </c>
      <c r="D3" s="224" t="s">
        <v>106</v>
      </c>
      <c r="F3" s="225"/>
      <c r="H3" s="225"/>
      <c r="J3" s="226"/>
      <c r="L3" s="227"/>
      <c r="N3" s="227"/>
      <c r="P3" s="399"/>
      <c r="R3" s="227"/>
    </row>
    <row r="4" spans="1:19" s="223" customFormat="1" ht="24" customHeight="1" x14ac:dyDescent="0.3">
      <c r="A4" s="221"/>
      <c r="B4" s="222"/>
      <c r="D4" s="228"/>
      <c r="F4" s="228"/>
      <c r="H4" s="228"/>
      <c r="J4" s="229"/>
      <c r="L4" s="229"/>
      <c r="N4" s="229"/>
      <c r="P4" s="361"/>
      <c r="R4" s="229"/>
    </row>
    <row r="5" spans="1:19" s="232" customFormat="1" ht="36.9" customHeight="1" x14ac:dyDescent="0.3">
      <c r="A5" s="230"/>
      <c r="B5" s="231" t="s">
        <v>107</v>
      </c>
      <c r="D5" s="233" t="s">
        <v>108</v>
      </c>
      <c r="E5" s="234"/>
      <c r="F5" s="233" t="s">
        <v>109</v>
      </c>
      <c r="G5" s="234"/>
      <c r="H5" s="233" t="s">
        <v>110</v>
      </c>
      <c r="J5" s="235" t="s">
        <v>111</v>
      </c>
      <c r="K5" s="234"/>
      <c r="L5" s="235" t="s">
        <v>112</v>
      </c>
      <c r="M5" s="234"/>
      <c r="N5" s="235" t="s">
        <v>113</v>
      </c>
      <c r="O5" s="234"/>
      <c r="P5" s="235" t="s">
        <v>114</v>
      </c>
      <c r="Q5" s="234"/>
      <c r="R5" s="235" t="s">
        <v>115</v>
      </c>
      <c r="S5" s="234"/>
    </row>
    <row r="6" spans="1:19" s="238" customFormat="1" ht="21.9" customHeight="1" x14ac:dyDescent="0.3">
      <c r="A6" s="236"/>
      <c r="B6" s="237"/>
      <c r="D6" s="237"/>
      <c r="F6" s="237"/>
      <c r="H6" s="237"/>
      <c r="J6" s="239"/>
      <c r="L6" s="239"/>
      <c r="N6" s="239"/>
      <c r="P6" s="456"/>
      <c r="R6" s="239"/>
    </row>
    <row r="7" spans="1:19" s="229" customFormat="1" ht="15" customHeight="1" x14ac:dyDescent="0.3">
      <c r="A7" s="491" t="s">
        <v>116</v>
      </c>
      <c r="B7" s="240" t="s">
        <v>117</v>
      </c>
      <c r="D7" s="241"/>
      <c r="F7" s="241"/>
      <c r="H7" s="241"/>
      <c r="K7" s="242"/>
      <c r="L7" s="242"/>
      <c r="M7" s="242"/>
      <c r="N7" s="242"/>
      <c r="O7" s="242"/>
      <c r="P7" s="360"/>
      <c r="Q7" s="242"/>
      <c r="R7" s="242"/>
      <c r="S7" s="242"/>
    </row>
    <row r="8" spans="1:19" s="229" customFormat="1" ht="25.5" customHeight="1" x14ac:dyDescent="0.3">
      <c r="A8" s="491"/>
      <c r="B8" s="499" t="s">
        <v>118</v>
      </c>
      <c r="D8" s="496" t="s">
        <v>119</v>
      </c>
      <c r="F8" s="243" t="s">
        <v>120</v>
      </c>
      <c r="G8" s="244"/>
      <c r="H8" s="496" t="s">
        <v>1166</v>
      </c>
      <c r="J8" s="493"/>
      <c r="K8" s="238"/>
      <c r="L8" s="399" t="s">
        <v>1161</v>
      </c>
      <c r="M8" s="238"/>
      <c r="N8" s="227" t="s">
        <v>122</v>
      </c>
      <c r="O8" s="238"/>
      <c r="P8" s="399"/>
      <c r="Q8" s="238"/>
      <c r="R8" s="227"/>
      <c r="S8" s="238"/>
    </row>
    <row r="9" spans="1:19" s="229" customFormat="1" ht="25.5" customHeight="1" x14ac:dyDescent="0.3">
      <c r="A9" s="491"/>
      <c r="B9" s="500"/>
      <c r="D9" s="497"/>
      <c r="F9" s="341" t="s">
        <v>1163</v>
      </c>
      <c r="G9" s="244"/>
      <c r="H9" s="497"/>
      <c r="J9" s="493"/>
      <c r="K9" s="238"/>
      <c r="L9" s="488" t="s">
        <v>123</v>
      </c>
      <c r="M9" s="238"/>
      <c r="N9" s="227"/>
      <c r="O9" s="238"/>
      <c r="P9" s="399"/>
      <c r="Q9" s="238"/>
      <c r="R9" s="227"/>
      <c r="S9" s="238"/>
    </row>
    <row r="10" spans="1:19" s="229" customFormat="1" ht="25.5" customHeight="1" x14ac:dyDescent="0.3">
      <c r="A10" s="491"/>
      <c r="B10" s="500"/>
      <c r="D10" s="497"/>
      <c r="F10" s="341" t="s">
        <v>1164</v>
      </c>
      <c r="G10" s="244"/>
      <c r="H10" s="497"/>
      <c r="J10" s="493"/>
      <c r="K10" s="238"/>
      <c r="L10" s="489"/>
      <c r="M10" s="238"/>
      <c r="N10" s="227"/>
      <c r="O10" s="238"/>
      <c r="P10" s="399"/>
      <c r="Q10" s="238"/>
      <c r="R10" s="227"/>
      <c r="S10" s="238"/>
    </row>
    <row r="11" spans="1:19" s="229" customFormat="1" ht="41.4" customHeight="1" x14ac:dyDescent="0.3">
      <c r="A11" s="491"/>
      <c r="B11" s="501"/>
      <c r="D11" s="498"/>
      <c r="F11" s="341" t="s">
        <v>1162</v>
      </c>
      <c r="G11" s="244"/>
      <c r="H11" s="498"/>
      <c r="J11" s="493"/>
      <c r="K11" s="238"/>
      <c r="L11" s="490"/>
      <c r="M11" s="238"/>
      <c r="N11" s="400" t="s">
        <v>124</v>
      </c>
      <c r="O11" s="238"/>
      <c r="P11" s="453" t="s">
        <v>1212</v>
      </c>
      <c r="Q11" s="238"/>
      <c r="R11" s="227"/>
      <c r="S11" s="238"/>
    </row>
    <row r="12" spans="1:19" s="229" customFormat="1" ht="79.5" customHeight="1" x14ac:dyDescent="0.3">
      <c r="A12" s="491"/>
      <c r="B12" s="218" t="s">
        <v>125</v>
      </c>
      <c r="D12" s="224" t="s">
        <v>126</v>
      </c>
      <c r="F12" s="243"/>
      <c r="H12" s="245" t="s">
        <v>127</v>
      </c>
      <c r="J12" s="493"/>
      <c r="K12" s="223"/>
      <c r="L12" s="399" t="s">
        <v>128</v>
      </c>
      <c r="M12" s="223"/>
      <c r="N12" s="227" t="s">
        <v>122</v>
      </c>
      <c r="O12" s="223"/>
      <c r="P12" s="399"/>
      <c r="Q12" s="223"/>
      <c r="R12" s="227"/>
      <c r="S12" s="223"/>
    </row>
    <row r="13" spans="1:19" s="229" customFormat="1" ht="97.95" customHeight="1" x14ac:dyDescent="0.3">
      <c r="A13" s="491"/>
      <c r="B13" s="218" t="s">
        <v>129</v>
      </c>
      <c r="D13" s="224" t="s">
        <v>126</v>
      </c>
      <c r="F13" s="243"/>
      <c r="H13" s="245" t="s">
        <v>1168</v>
      </c>
      <c r="J13" s="493"/>
      <c r="K13" s="238"/>
      <c r="L13" s="400" t="s">
        <v>130</v>
      </c>
      <c r="M13" s="238"/>
      <c r="N13" s="400" t="s">
        <v>131</v>
      </c>
      <c r="O13" s="238"/>
      <c r="P13" s="399" t="s">
        <v>1213</v>
      </c>
      <c r="Q13" s="238"/>
      <c r="R13" s="227"/>
      <c r="S13" s="238"/>
    </row>
    <row r="14" spans="1:19" s="229" customFormat="1" ht="41.4" x14ac:dyDescent="0.3">
      <c r="A14" s="491"/>
      <c r="B14" s="502" t="s">
        <v>132</v>
      </c>
      <c r="D14" s="504" t="s">
        <v>119</v>
      </c>
      <c r="F14" s="243" t="s">
        <v>133</v>
      </c>
      <c r="H14" s="496" t="s">
        <v>121</v>
      </c>
      <c r="J14" s="493"/>
      <c r="K14" s="242"/>
      <c r="L14" s="399" t="s">
        <v>134</v>
      </c>
      <c r="M14" s="242"/>
      <c r="N14" s="227" t="s">
        <v>122</v>
      </c>
      <c r="O14" s="242"/>
      <c r="P14" s="399"/>
      <c r="Q14" s="242"/>
      <c r="R14" s="227"/>
      <c r="S14" s="242"/>
    </row>
    <row r="15" spans="1:19" s="229" customFormat="1" ht="27.6" x14ac:dyDescent="0.3">
      <c r="A15" s="491"/>
      <c r="B15" s="503"/>
      <c r="D15" s="505"/>
      <c r="F15" s="243" t="s">
        <v>135</v>
      </c>
      <c r="H15" s="498"/>
      <c r="J15" s="493"/>
      <c r="K15" s="242"/>
      <c r="L15" s="227"/>
      <c r="M15" s="242"/>
      <c r="N15" s="227"/>
      <c r="O15" s="242"/>
      <c r="P15" s="399"/>
      <c r="Q15" s="242"/>
      <c r="R15" s="227"/>
      <c r="S15" s="242"/>
    </row>
    <row r="16" spans="1:19" s="246" customFormat="1" ht="143.1" customHeight="1" x14ac:dyDescent="0.3">
      <c r="A16" s="491"/>
      <c r="B16" s="218" t="s">
        <v>136</v>
      </c>
      <c r="D16" s="224" t="s">
        <v>126</v>
      </c>
      <c r="E16" s="229"/>
      <c r="F16" s="243"/>
      <c r="H16" s="245" t="s">
        <v>137</v>
      </c>
      <c r="I16" s="229"/>
      <c r="J16" s="493"/>
      <c r="K16" s="242"/>
      <c r="L16" s="401" t="s">
        <v>138</v>
      </c>
      <c r="M16" s="242"/>
      <c r="N16" s="400" t="s">
        <v>139</v>
      </c>
      <c r="O16" s="242"/>
      <c r="P16" s="399" t="s">
        <v>1265</v>
      </c>
      <c r="Q16" s="242"/>
      <c r="R16" s="227"/>
      <c r="S16" s="242"/>
    </row>
    <row r="17" spans="1:19" s="246" customFormat="1" ht="230.4" customHeight="1" x14ac:dyDescent="0.3">
      <c r="A17" s="491"/>
      <c r="B17" s="218" t="s">
        <v>140</v>
      </c>
      <c r="D17" s="224" t="s">
        <v>119</v>
      </c>
      <c r="E17" s="229"/>
      <c r="F17" s="393" t="s">
        <v>141</v>
      </c>
      <c r="H17" s="245" t="s">
        <v>142</v>
      </c>
      <c r="I17" s="229"/>
      <c r="J17" s="493"/>
      <c r="K17" s="242"/>
      <c r="L17" s="401" t="s">
        <v>143</v>
      </c>
      <c r="M17" s="242"/>
      <c r="N17" s="400" t="s">
        <v>144</v>
      </c>
      <c r="O17" s="242"/>
      <c r="P17" s="399" t="s">
        <v>1186</v>
      </c>
      <c r="Q17" s="242"/>
      <c r="R17" s="227"/>
      <c r="S17" s="242"/>
    </row>
    <row r="18" spans="1:19" s="246" customFormat="1" ht="24" customHeight="1" x14ac:dyDescent="0.3">
      <c r="A18" s="491" t="s">
        <v>145</v>
      </c>
      <c r="B18" s="240" t="s">
        <v>117</v>
      </c>
      <c r="C18" s="229"/>
      <c r="D18" s="241"/>
      <c r="E18" s="229"/>
      <c r="F18" s="241"/>
      <c r="G18" s="229"/>
      <c r="H18" s="241"/>
      <c r="I18" s="229"/>
      <c r="J18" s="229"/>
      <c r="L18" s="229"/>
      <c r="N18" s="229"/>
      <c r="P18" s="361"/>
      <c r="R18" s="229"/>
    </row>
    <row r="19" spans="1:19" s="246" customFormat="1" ht="96.6" x14ac:dyDescent="0.3">
      <c r="A19" s="492"/>
      <c r="B19" s="218" t="s">
        <v>118</v>
      </c>
      <c r="C19" s="229"/>
      <c r="D19" s="224" t="s">
        <v>119</v>
      </c>
      <c r="E19" s="229"/>
      <c r="F19" s="243" t="s">
        <v>120</v>
      </c>
      <c r="G19" s="229"/>
      <c r="H19" s="245" t="s">
        <v>146</v>
      </c>
      <c r="I19" s="229"/>
      <c r="J19" s="493"/>
      <c r="L19" s="399" t="s">
        <v>147</v>
      </c>
      <c r="N19" s="400" t="s">
        <v>148</v>
      </c>
      <c r="P19" s="453" t="s">
        <v>1165</v>
      </c>
      <c r="R19" s="227"/>
    </row>
    <row r="20" spans="1:19" s="246" customFormat="1" ht="110.4" x14ac:dyDescent="0.3">
      <c r="A20" s="492"/>
      <c r="B20" s="218" t="s">
        <v>125</v>
      </c>
      <c r="C20" s="229"/>
      <c r="D20" s="224" t="s">
        <v>126</v>
      </c>
      <c r="E20" s="229"/>
      <c r="F20" s="243"/>
      <c r="G20" s="229"/>
      <c r="H20" s="245" t="s">
        <v>142</v>
      </c>
      <c r="I20" s="229"/>
      <c r="J20" s="494"/>
      <c r="L20" s="399" t="s">
        <v>149</v>
      </c>
      <c r="N20" s="399" t="s">
        <v>150</v>
      </c>
      <c r="P20" s="399" t="s">
        <v>1213</v>
      </c>
      <c r="R20" s="227"/>
    </row>
    <row r="21" spans="1:19" s="246" customFormat="1" ht="27.6" x14ac:dyDescent="0.3">
      <c r="A21" s="492"/>
      <c r="B21" s="218" t="s">
        <v>129</v>
      </c>
      <c r="C21" s="229"/>
      <c r="D21" s="224" t="s">
        <v>126</v>
      </c>
      <c r="E21" s="229"/>
      <c r="F21" s="243"/>
      <c r="G21" s="229"/>
      <c r="H21" s="245" t="s">
        <v>151</v>
      </c>
      <c r="I21" s="229"/>
      <c r="J21" s="494"/>
      <c r="L21" s="399" t="s">
        <v>152</v>
      </c>
      <c r="N21" s="227" t="s">
        <v>122</v>
      </c>
      <c r="P21" s="399"/>
      <c r="R21" s="227"/>
    </row>
    <row r="22" spans="1:19" s="246" customFormat="1" ht="69" x14ac:dyDescent="0.3">
      <c r="A22" s="492"/>
      <c r="B22" s="218" t="s">
        <v>132</v>
      </c>
      <c r="C22" s="229"/>
      <c r="D22" s="224" t="s">
        <v>126</v>
      </c>
      <c r="E22" s="229"/>
      <c r="F22" s="243"/>
      <c r="G22" s="229"/>
      <c r="H22" s="245" t="s">
        <v>153</v>
      </c>
      <c r="I22" s="229"/>
      <c r="J22" s="494"/>
      <c r="L22" s="399" t="s">
        <v>154</v>
      </c>
      <c r="N22" s="399" t="s">
        <v>155</v>
      </c>
      <c r="P22" s="453" t="s">
        <v>135</v>
      </c>
      <c r="R22" s="227"/>
    </row>
    <row r="23" spans="1:19" s="246" customFormat="1" ht="78.599999999999994" customHeight="1" x14ac:dyDescent="0.3">
      <c r="A23" s="492"/>
      <c r="B23" s="218" t="s">
        <v>136</v>
      </c>
      <c r="D23" s="224" t="s">
        <v>126</v>
      </c>
      <c r="E23" s="229"/>
      <c r="F23" s="350"/>
      <c r="H23" s="245" t="s">
        <v>137</v>
      </c>
      <c r="I23" s="229"/>
      <c r="J23" s="494"/>
      <c r="L23" s="401" t="s">
        <v>156</v>
      </c>
      <c r="N23" s="399" t="s">
        <v>157</v>
      </c>
      <c r="P23" s="399"/>
      <c r="R23" s="227"/>
    </row>
    <row r="24" spans="1:19" s="246" customFormat="1" ht="138" x14ac:dyDescent="0.3">
      <c r="A24" s="492"/>
      <c r="B24" s="218" t="s">
        <v>140</v>
      </c>
      <c r="D24" s="224" t="s">
        <v>119</v>
      </c>
      <c r="E24" s="229"/>
      <c r="F24" s="341" t="s">
        <v>141</v>
      </c>
      <c r="H24" s="245" t="s">
        <v>158</v>
      </c>
      <c r="I24" s="229"/>
      <c r="J24" s="495"/>
      <c r="L24" s="400" t="s">
        <v>159</v>
      </c>
      <c r="N24" s="399" t="s">
        <v>160</v>
      </c>
      <c r="P24" s="400" t="s">
        <v>1190</v>
      </c>
      <c r="R24" s="227"/>
    </row>
    <row r="25" spans="1:19" s="246" customFormat="1" ht="18.899999999999999" customHeight="1" x14ac:dyDescent="0.3">
      <c r="A25" s="339"/>
      <c r="B25" s="218"/>
      <c r="D25" s="224"/>
      <c r="E25" s="229"/>
      <c r="F25" s="243"/>
      <c r="H25" s="245"/>
      <c r="I25" s="229"/>
      <c r="J25" s="340"/>
      <c r="L25" s="227"/>
      <c r="N25" s="227"/>
      <c r="P25" s="399"/>
      <c r="R25" s="227"/>
    </row>
    <row r="26" spans="1:19" s="246" customFormat="1" x14ac:dyDescent="0.3">
      <c r="A26" s="247"/>
      <c r="E26" s="229"/>
      <c r="P26" s="457"/>
    </row>
    <row r="27" spans="1:19" s="249" customFormat="1" x14ac:dyDescent="0.3">
      <c r="A27" s="248"/>
      <c r="E27" s="246"/>
      <c r="P27" s="458"/>
    </row>
    <row r="28" spans="1:19" x14ac:dyDescent="0.3">
      <c r="E28" s="249"/>
    </row>
  </sheetData>
  <mergeCells count="11">
    <mergeCell ref="L9:L11"/>
    <mergeCell ref="A7:A17"/>
    <mergeCell ref="A18:A24"/>
    <mergeCell ref="J8:J17"/>
    <mergeCell ref="J19:J24"/>
    <mergeCell ref="D8:D11"/>
    <mergeCell ref="B8:B11"/>
    <mergeCell ref="H8:H11"/>
    <mergeCell ref="B14:B15"/>
    <mergeCell ref="D14:D15"/>
    <mergeCell ref="H14:H15"/>
  </mergeCells>
  <hyperlinks>
    <hyperlink ref="F14" r:id="rId1" xr:uid="{4D317105-4479-495E-8BFA-567ECF7F6BFB}"/>
    <hyperlink ref="F8" r:id="rId2" xr:uid="{7923F6B2-9AEB-4EE5-A23C-AA347D953B9A}"/>
    <hyperlink ref="F19" r:id="rId3" xr:uid="{7CD3B6B1-02A3-4569-944F-D866E3F51D3D}"/>
    <hyperlink ref="F11" r:id="rId4" xr:uid="{F676F32F-4896-41BC-BBCD-FF40E9713798}"/>
    <hyperlink ref="F15" r:id="rId5" xr:uid="{388FAA01-A83D-4FE1-9549-1AF50A174085}"/>
    <hyperlink ref="F17" r:id="rId6" xr:uid="{D330BD40-9A22-4152-97DB-F05279959872}"/>
    <hyperlink ref="F24" r:id="rId7" xr:uid="{76CF81A6-E718-4888-BE80-DC92B95D095F}"/>
    <hyperlink ref="F9" r:id="rId8" xr:uid="{73BF760E-3DDF-4393-BFA9-F2E8395C0401}"/>
    <hyperlink ref="F10" r:id="rId9" xr:uid="{6351B035-0BF2-4876-8FE5-8B47D07BD3A1}"/>
    <hyperlink ref="P11" r:id="rId10" display="https://mra.gov.pg/investment/miningregulations/" xr:uid="{CB3658A7-D3D6-45A6-88AC-1E948A623E63}"/>
    <hyperlink ref="P19" r:id="rId11" xr:uid="{65A2CB04-40F6-43B7-9B12-367B87938DEF}"/>
    <hyperlink ref="P22" r:id="rId12" xr:uid="{1ACAEBAB-9D08-4898-926A-1EFFB4E8CC1D}"/>
  </hyperlinks>
  <pageMargins left="0.70866141732283505" right="0.70866141732283505" top="0.74803149606299202" bottom="0.74803149606299202" header="0.31496062992126" footer="0.31496062992126"/>
  <pageSetup paperSize="8" orientation="landscape" horizontalDpi="1200" verticalDpi="1200" r:id="rId13"/>
  <drawing r:id="rId14"/>
  <mc:AlternateContent xmlns:mc="http://schemas.openxmlformats.org/markup-compatibility/2006">
    <mc:Choice Requires="v">
      <legacyDrawing r:id="rId15"/>
    </mc:Choice>
  </mc:AlternateContent>
</worksheet>
</file>

<file path=xl/worksheets/sheet4.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00701-92D3-BE4C-841F-0776CCF83960}">
  <sheetPr codeName="Sheet4"/>
  <dimension ref="A1:S33"/>
  <sheetViews>
    <sheetView topLeftCell="L15" zoomScale="98" zoomScaleNormal="40" workbookViewId="0">
      <selection activeCell="P22" sqref="P22"/>
    </sheetView>
  </sheetViews>
  <sheetFormatPr defaultColWidth="10.5" defaultRowHeight="13.8" x14ac:dyDescent="0.3"/>
  <cols>
    <col min="1" max="1" width="13" style="219" customWidth="1"/>
    <col min="2" max="2" width="57.5" style="323" customWidth="1"/>
    <col min="3" max="3" width="3.5" style="220" customWidth="1"/>
    <col min="4" max="4" width="29" style="220" customWidth="1"/>
    <col min="5" max="5" width="3.5" style="220" customWidth="1"/>
    <col min="6" max="6" width="56.09765625" style="220" customWidth="1"/>
    <col min="7" max="7" width="3.5" style="220" customWidth="1"/>
    <col min="8" max="8" width="31.69921875" style="220" customWidth="1"/>
    <col min="9" max="9" width="3.5" style="220" customWidth="1"/>
    <col min="10" max="10" width="44" style="220" customWidth="1"/>
    <col min="11" max="11" width="3" style="220" customWidth="1"/>
    <col min="12" max="12" width="39.5" style="220" customWidth="1"/>
    <col min="13" max="13" width="3" style="220" customWidth="1"/>
    <col min="14" max="14" width="39.5" style="220" customWidth="1"/>
    <col min="15" max="15" width="3" style="220" customWidth="1"/>
    <col min="16" max="16" width="50" style="455" customWidth="1"/>
    <col min="17" max="17" width="3" style="220" customWidth="1"/>
    <col min="18" max="18" width="39.5" style="220" customWidth="1"/>
    <col min="19" max="19" width="3" style="220" customWidth="1"/>
    <col min="20" max="16384" width="10.5" style="220"/>
  </cols>
  <sheetData>
    <row r="1" spans="1:19" x14ac:dyDescent="0.3">
      <c r="A1" s="219" t="s">
        <v>161</v>
      </c>
    </row>
    <row r="3" spans="1:19" s="223" customFormat="1" ht="82.8" x14ac:dyDescent="0.3">
      <c r="A3" s="221" t="s">
        <v>162</v>
      </c>
      <c r="B3" s="222" t="s">
        <v>163</v>
      </c>
      <c r="D3" s="224" t="s">
        <v>106</v>
      </c>
      <c r="F3" s="225"/>
      <c r="H3" s="225"/>
      <c r="J3" s="226"/>
      <c r="L3" s="227"/>
      <c r="N3" s="227"/>
      <c r="P3" s="399"/>
      <c r="R3" s="227"/>
    </row>
    <row r="4" spans="1:19" s="238" customFormat="1" x14ac:dyDescent="0.3">
      <c r="A4" s="236"/>
      <c r="B4" s="237"/>
      <c r="D4" s="237"/>
      <c r="F4" s="237"/>
      <c r="H4" s="237"/>
      <c r="J4" s="239"/>
      <c r="L4" s="239"/>
      <c r="N4" s="239"/>
      <c r="P4" s="456"/>
      <c r="R4" s="239"/>
    </row>
    <row r="5" spans="1:19" s="234" customFormat="1" ht="41.4" x14ac:dyDescent="0.3">
      <c r="A5" s="324"/>
      <c r="B5" s="233" t="s">
        <v>107</v>
      </c>
      <c r="D5" s="233" t="s">
        <v>108</v>
      </c>
      <c r="F5" s="233" t="s">
        <v>109</v>
      </c>
      <c r="H5" s="233" t="s">
        <v>110</v>
      </c>
      <c r="I5" s="232"/>
      <c r="J5" s="235" t="s">
        <v>111</v>
      </c>
      <c r="L5" s="235" t="s">
        <v>112</v>
      </c>
      <c r="N5" s="235" t="s">
        <v>113</v>
      </c>
      <c r="P5" s="235" t="s">
        <v>114</v>
      </c>
      <c r="R5" s="235" t="s">
        <v>115</v>
      </c>
    </row>
    <row r="6" spans="1:19" s="238" customFormat="1" x14ac:dyDescent="0.3">
      <c r="A6" s="236"/>
      <c r="B6" s="237"/>
      <c r="D6" s="237"/>
      <c r="F6" s="237"/>
      <c r="H6" s="237"/>
      <c r="J6" s="239"/>
      <c r="L6" s="239"/>
      <c r="N6" s="239"/>
      <c r="P6" s="456"/>
      <c r="R6" s="239"/>
    </row>
    <row r="7" spans="1:19" s="223" customFormat="1" ht="41.4" x14ac:dyDescent="0.3">
      <c r="A7" s="221" t="s">
        <v>164</v>
      </c>
      <c r="B7" s="222" t="s">
        <v>165</v>
      </c>
      <c r="D7" s="224" t="s">
        <v>58</v>
      </c>
      <c r="F7" s="225"/>
      <c r="H7" s="225"/>
      <c r="J7" s="226"/>
      <c r="L7" s="227"/>
      <c r="N7" s="227"/>
    </row>
    <row r="8" spans="1:19" s="238" customFormat="1" x14ac:dyDescent="0.3">
      <c r="A8" s="236"/>
      <c r="B8" s="237"/>
      <c r="D8" s="237"/>
      <c r="F8" s="237"/>
      <c r="H8" s="237"/>
      <c r="J8" s="239"/>
      <c r="L8" s="239"/>
      <c r="N8" s="239"/>
      <c r="P8" s="223"/>
    </row>
    <row r="9" spans="1:19" s="242" customFormat="1" x14ac:dyDescent="0.3">
      <c r="A9" s="506" t="s">
        <v>116</v>
      </c>
      <c r="B9" s="325" t="s">
        <v>117</v>
      </c>
      <c r="D9" s="241"/>
      <c r="F9" s="241"/>
      <c r="H9" s="241"/>
      <c r="M9" s="238"/>
      <c r="N9" s="227"/>
      <c r="O9" s="238"/>
      <c r="P9" s="399"/>
      <c r="Q9" s="238"/>
      <c r="R9" s="227"/>
    </row>
    <row r="10" spans="1:19" s="242" customFormat="1" ht="132.75" customHeight="1" x14ac:dyDescent="0.3">
      <c r="A10" s="506"/>
      <c r="B10" s="326" t="s">
        <v>166</v>
      </c>
      <c r="D10" s="383">
        <v>118</v>
      </c>
      <c r="F10" s="224"/>
      <c r="H10" s="245" t="s">
        <v>167</v>
      </c>
      <c r="J10" s="508"/>
      <c r="K10" s="238"/>
      <c r="L10" s="399" t="s">
        <v>168</v>
      </c>
      <c r="M10" s="238"/>
      <c r="N10" s="227" t="s">
        <v>169</v>
      </c>
      <c r="O10" s="238"/>
      <c r="P10" s="399" t="s">
        <v>1169</v>
      </c>
      <c r="Q10" s="238"/>
      <c r="R10" s="227"/>
      <c r="S10" s="238"/>
    </row>
    <row r="11" spans="1:19" s="242" customFormat="1" ht="141" customHeight="1" x14ac:dyDescent="0.3">
      <c r="A11" s="507"/>
      <c r="B11" s="325" t="s">
        <v>170</v>
      </c>
      <c r="D11" s="224" t="s">
        <v>171</v>
      </c>
      <c r="F11" s="384" t="s">
        <v>172</v>
      </c>
      <c r="H11" s="245" t="s">
        <v>173</v>
      </c>
      <c r="J11" s="509"/>
      <c r="K11" s="223"/>
      <c r="L11" s="399" t="s">
        <v>174</v>
      </c>
      <c r="M11" s="223"/>
      <c r="N11" s="400" t="s">
        <v>175</v>
      </c>
      <c r="O11" s="223"/>
      <c r="P11" s="399" t="s">
        <v>1221</v>
      </c>
      <c r="Q11" s="223"/>
      <c r="R11" s="227"/>
      <c r="S11" s="223"/>
    </row>
    <row r="12" spans="1:19" s="242" customFormat="1" ht="59.25" customHeight="1" x14ac:dyDescent="0.3">
      <c r="A12" s="507"/>
      <c r="B12" s="325" t="s">
        <v>176</v>
      </c>
      <c r="D12" s="224" t="s">
        <v>171</v>
      </c>
      <c r="F12" s="384" t="s">
        <v>172</v>
      </c>
      <c r="H12" s="245" t="s">
        <v>177</v>
      </c>
      <c r="J12" s="509"/>
      <c r="K12" s="238"/>
      <c r="L12" s="399" t="s">
        <v>178</v>
      </c>
      <c r="M12" s="238"/>
      <c r="N12" s="400" t="s">
        <v>179</v>
      </c>
      <c r="O12" s="238"/>
      <c r="P12" s="399" t="s">
        <v>1222</v>
      </c>
      <c r="Q12" s="238"/>
      <c r="R12" s="227"/>
      <c r="S12" s="238"/>
    </row>
    <row r="13" spans="1:19" s="242" customFormat="1" ht="96.6" x14ac:dyDescent="0.3">
      <c r="A13" s="507"/>
      <c r="B13" s="327" t="s">
        <v>180</v>
      </c>
      <c r="D13" s="224" t="s">
        <v>181</v>
      </c>
      <c r="F13" s="384" t="s">
        <v>172</v>
      </c>
      <c r="H13" s="245" t="s">
        <v>182</v>
      </c>
      <c r="J13" s="509"/>
      <c r="L13" s="402" t="s">
        <v>183</v>
      </c>
      <c r="N13" s="400" t="s">
        <v>184</v>
      </c>
      <c r="P13" s="399" t="s">
        <v>1214</v>
      </c>
      <c r="R13" s="227"/>
    </row>
    <row r="14" spans="1:19" s="242" customFormat="1" ht="55.2" x14ac:dyDescent="0.3">
      <c r="A14" s="507"/>
      <c r="B14" s="328" t="s">
        <v>185</v>
      </c>
      <c r="D14" s="383">
        <v>0</v>
      </c>
      <c r="F14" s="245"/>
      <c r="H14" s="245" t="s">
        <v>186</v>
      </c>
      <c r="J14" s="509"/>
      <c r="L14" s="402" t="s">
        <v>187</v>
      </c>
      <c r="N14" s="399" t="s">
        <v>188</v>
      </c>
      <c r="P14" s="399" t="s">
        <v>1215</v>
      </c>
      <c r="R14" s="227"/>
    </row>
    <row r="15" spans="1:19" s="242" customFormat="1" x14ac:dyDescent="0.3">
      <c r="A15" s="507"/>
      <c r="B15" s="327" t="s">
        <v>189</v>
      </c>
      <c r="D15" s="224" t="s">
        <v>73</v>
      </c>
      <c r="F15" s="245"/>
      <c r="H15" s="245" t="s">
        <v>186</v>
      </c>
      <c r="J15" s="509"/>
      <c r="L15" s="227" t="s">
        <v>190</v>
      </c>
      <c r="N15" s="227" t="s">
        <v>191</v>
      </c>
      <c r="P15" s="399"/>
      <c r="R15" s="227"/>
    </row>
    <row r="16" spans="1:19" s="242" customFormat="1" ht="27.6" x14ac:dyDescent="0.3">
      <c r="A16" s="507"/>
      <c r="B16" s="325" t="s">
        <v>192</v>
      </c>
      <c r="D16" s="224" t="s">
        <v>171</v>
      </c>
      <c r="F16" s="384" t="s">
        <v>172</v>
      </c>
      <c r="H16" s="245" t="s">
        <v>193</v>
      </c>
      <c r="J16" s="509"/>
      <c r="K16" s="246"/>
      <c r="L16" s="227" t="s">
        <v>194</v>
      </c>
      <c r="M16" s="246"/>
      <c r="N16" s="227" t="s">
        <v>195</v>
      </c>
      <c r="O16" s="246"/>
      <c r="P16" s="399" t="s">
        <v>1215</v>
      </c>
      <c r="Q16" s="246"/>
      <c r="R16" s="227"/>
      <c r="S16" s="246"/>
    </row>
    <row r="17" spans="1:19" s="242" customFormat="1" ht="27.6" x14ac:dyDescent="0.3">
      <c r="A17" s="507"/>
      <c r="B17" s="325" t="s">
        <v>176</v>
      </c>
      <c r="D17" s="224" t="s">
        <v>171</v>
      </c>
      <c r="F17" s="384" t="s">
        <v>172</v>
      </c>
      <c r="H17" s="245" t="s">
        <v>193</v>
      </c>
      <c r="J17" s="509"/>
      <c r="K17" s="246"/>
      <c r="L17" s="227" t="s">
        <v>196</v>
      </c>
      <c r="M17" s="246"/>
      <c r="N17" s="399" t="s">
        <v>197</v>
      </c>
      <c r="O17" s="246"/>
      <c r="P17" s="399" t="s">
        <v>1222</v>
      </c>
      <c r="Q17" s="246"/>
      <c r="R17" s="227"/>
      <c r="S17" s="246"/>
    </row>
    <row r="18" spans="1:19" s="242" customFormat="1" ht="41.4" x14ac:dyDescent="0.3">
      <c r="A18" s="507"/>
      <c r="B18" s="327" t="s">
        <v>198</v>
      </c>
      <c r="D18" s="224" t="s">
        <v>73</v>
      </c>
      <c r="F18" s="245"/>
      <c r="H18" s="245" t="s">
        <v>199</v>
      </c>
      <c r="J18" s="509"/>
      <c r="K18" s="246"/>
      <c r="L18" s="227" t="s">
        <v>200</v>
      </c>
      <c r="M18" s="246"/>
      <c r="N18" s="399" t="s">
        <v>201</v>
      </c>
      <c r="O18" s="246"/>
      <c r="P18" s="399" t="s">
        <v>1214</v>
      </c>
      <c r="Q18" s="246"/>
      <c r="R18" s="227"/>
      <c r="S18" s="246"/>
    </row>
    <row r="19" spans="1:19" s="242" customFormat="1" ht="27.6" x14ac:dyDescent="0.3">
      <c r="A19" s="507"/>
      <c r="B19" s="325" t="s">
        <v>202</v>
      </c>
      <c r="D19" s="224" t="s">
        <v>73</v>
      </c>
      <c r="F19" s="245"/>
      <c r="H19" s="245" t="s">
        <v>177</v>
      </c>
      <c r="J19" s="510"/>
      <c r="K19" s="246"/>
      <c r="L19" s="227" t="s">
        <v>194</v>
      </c>
      <c r="M19" s="246"/>
      <c r="N19" s="227"/>
      <c r="O19" s="246"/>
      <c r="P19" s="399" t="s">
        <v>1216</v>
      </c>
      <c r="Q19" s="246"/>
      <c r="R19" s="227"/>
      <c r="S19" s="246"/>
    </row>
    <row r="20" spans="1:19" s="328" customFormat="1" ht="62.25" customHeight="1" x14ac:dyDescent="0.3">
      <c r="A20" s="329"/>
      <c r="B20" s="328" t="s">
        <v>203</v>
      </c>
      <c r="K20" s="246"/>
      <c r="L20" s="229"/>
      <c r="M20" s="246"/>
      <c r="N20" s="229"/>
      <c r="O20" s="246"/>
      <c r="P20" s="459"/>
      <c r="Q20" s="246"/>
      <c r="R20" s="229"/>
      <c r="S20" s="246"/>
    </row>
    <row r="21" spans="1:19" s="328" customFormat="1" x14ac:dyDescent="0.3">
      <c r="A21" s="506" t="s">
        <v>145</v>
      </c>
      <c r="B21" s="325" t="s">
        <v>117</v>
      </c>
      <c r="C21" s="242"/>
      <c r="D21" s="241"/>
      <c r="E21" s="242"/>
      <c r="F21" s="241"/>
      <c r="G21" s="242"/>
      <c r="H21" s="241"/>
      <c r="I21" s="242"/>
      <c r="J21" s="330"/>
      <c r="K21" s="246"/>
      <c r="L21" s="227"/>
      <c r="M21" s="246"/>
      <c r="N21" s="227"/>
      <c r="O21" s="246"/>
      <c r="P21" s="399"/>
      <c r="Q21" s="246"/>
      <c r="R21" s="227"/>
      <c r="S21" s="246"/>
    </row>
    <row r="22" spans="1:19" s="328" customFormat="1" ht="151.80000000000001" x14ac:dyDescent="0.3">
      <c r="A22" s="506"/>
      <c r="B22" s="326" t="s">
        <v>166</v>
      </c>
      <c r="C22" s="242"/>
      <c r="D22" s="383" t="s">
        <v>204</v>
      </c>
      <c r="E22" s="242"/>
      <c r="F22" s="224"/>
      <c r="G22" s="242"/>
      <c r="H22" s="245" t="s">
        <v>205</v>
      </c>
      <c r="I22" s="242"/>
      <c r="J22" s="330"/>
      <c r="K22" s="246"/>
      <c r="L22" s="399" t="s">
        <v>206</v>
      </c>
      <c r="M22" s="246"/>
      <c r="N22" s="399" t="s">
        <v>207</v>
      </c>
      <c r="O22" s="246"/>
      <c r="P22" s="399" t="s">
        <v>1225</v>
      </c>
      <c r="Q22" s="246"/>
      <c r="R22" s="227"/>
      <c r="S22" s="246"/>
    </row>
    <row r="23" spans="1:19" s="328" customFormat="1" ht="55.2" x14ac:dyDescent="0.3">
      <c r="A23" s="507"/>
      <c r="B23" s="325" t="s">
        <v>170</v>
      </c>
      <c r="C23" s="242"/>
      <c r="D23" s="224" t="s">
        <v>171</v>
      </c>
      <c r="E23" s="242"/>
      <c r="F23" s="243" t="s">
        <v>135</v>
      </c>
      <c r="G23" s="242"/>
      <c r="H23" s="245" t="s">
        <v>208</v>
      </c>
      <c r="I23" s="242"/>
      <c r="J23" s="330"/>
      <c r="K23" s="246"/>
      <c r="L23" s="399" t="s">
        <v>209</v>
      </c>
      <c r="M23" s="246"/>
      <c r="N23" s="399" t="s">
        <v>210</v>
      </c>
      <c r="O23" s="246"/>
      <c r="P23" s="399" t="s">
        <v>1223</v>
      </c>
      <c r="Q23" s="246"/>
      <c r="R23" s="227"/>
      <c r="S23" s="246"/>
    </row>
    <row r="24" spans="1:19" s="328" customFormat="1" ht="69" x14ac:dyDescent="0.3">
      <c r="A24" s="507"/>
      <c r="B24" s="325" t="s">
        <v>176</v>
      </c>
      <c r="C24" s="242"/>
      <c r="D24" s="224" t="s">
        <v>171</v>
      </c>
      <c r="E24" s="242"/>
      <c r="F24" s="243" t="s">
        <v>135</v>
      </c>
      <c r="G24" s="242"/>
      <c r="H24" s="245" t="s">
        <v>208</v>
      </c>
      <c r="I24" s="242"/>
      <c r="J24" s="330"/>
      <c r="K24" s="246"/>
      <c r="L24" s="399" t="s">
        <v>211</v>
      </c>
      <c r="M24" s="246"/>
      <c r="N24" s="399" t="s">
        <v>212</v>
      </c>
      <c r="O24" s="246"/>
      <c r="P24" s="453" t="s">
        <v>135</v>
      </c>
      <c r="Q24" s="246"/>
      <c r="R24" s="227"/>
      <c r="S24" s="246"/>
    </row>
    <row r="25" spans="1:19" s="328" customFormat="1" ht="96.6" x14ac:dyDescent="0.3">
      <c r="A25" s="507"/>
      <c r="B25" s="327" t="s">
        <v>180</v>
      </c>
      <c r="C25" s="242"/>
      <c r="D25" s="224" t="s">
        <v>73</v>
      </c>
      <c r="E25" s="242"/>
      <c r="F25" s="245"/>
      <c r="G25" s="242"/>
      <c r="H25" s="245" t="s">
        <v>213</v>
      </c>
      <c r="I25" s="242"/>
      <c r="J25" s="330"/>
      <c r="K25" s="246"/>
      <c r="L25" s="399" t="s">
        <v>214</v>
      </c>
      <c r="M25" s="246"/>
      <c r="N25" s="400" t="s">
        <v>215</v>
      </c>
      <c r="O25" s="246"/>
      <c r="P25" s="399" t="s">
        <v>1217</v>
      </c>
      <c r="Q25" s="246"/>
      <c r="R25" s="227"/>
      <c r="S25" s="246"/>
    </row>
    <row r="26" spans="1:19" s="328" customFormat="1" ht="27.6" x14ac:dyDescent="0.3">
      <c r="A26" s="507"/>
      <c r="B26" s="328" t="s">
        <v>185</v>
      </c>
      <c r="C26" s="242"/>
      <c r="D26" s="383">
        <v>3</v>
      </c>
      <c r="E26" s="242"/>
      <c r="F26" s="245"/>
      <c r="G26" s="242"/>
      <c r="H26" s="245" t="s">
        <v>216</v>
      </c>
      <c r="I26" s="242"/>
      <c r="J26" s="330"/>
      <c r="K26" s="246"/>
      <c r="L26" s="399" t="s">
        <v>217</v>
      </c>
      <c r="M26" s="246"/>
      <c r="N26" s="399" t="s">
        <v>218</v>
      </c>
      <c r="O26" s="246"/>
      <c r="P26" s="399" t="s">
        <v>1222</v>
      </c>
      <c r="Q26" s="246"/>
      <c r="R26" s="227"/>
      <c r="S26" s="246"/>
    </row>
    <row r="27" spans="1:19" s="328" customFormat="1" ht="27.6" x14ac:dyDescent="0.3">
      <c r="A27" s="507"/>
      <c r="B27" s="327" t="s">
        <v>189</v>
      </c>
      <c r="C27" s="242"/>
      <c r="D27" s="224" t="s">
        <v>204</v>
      </c>
      <c r="E27" s="242"/>
      <c r="F27" s="245"/>
      <c r="G27" s="242"/>
      <c r="H27" s="245" t="s">
        <v>205</v>
      </c>
      <c r="I27" s="242"/>
      <c r="J27" s="330"/>
      <c r="K27" s="246"/>
      <c r="L27" s="227" t="s">
        <v>219</v>
      </c>
      <c r="M27" s="246"/>
      <c r="N27" s="399" t="s">
        <v>220</v>
      </c>
      <c r="O27" s="246"/>
      <c r="P27" s="399" t="s">
        <v>1222</v>
      </c>
      <c r="Q27" s="246"/>
      <c r="R27" s="227"/>
      <c r="S27" s="246"/>
    </row>
    <row r="28" spans="1:19" s="328" customFormat="1" ht="96.6" x14ac:dyDescent="0.3">
      <c r="A28" s="507"/>
      <c r="B28" s="325" t="s">
        <v>192</v>
      </c>
      <c r="C28" s="242"/>
      <c r="D28" s="224" t="s">
        <v>171</v>
      </c>
      <c r="E28" s="242"/>
      <c r="F28" s="243" t="s">
        <v>221</v>
      </c>
      <c r="G28" s="242"/>
      <c r="H28" s="245" t="s">
        <v>222</v>
      </c>
      <c r="I28" s="242"/>
      <c r="J28" s="330"/>
      <c r="K28" s="246"/>
      <c r="L28" s="402" t="s">
        <v>223</v>
      </c>
      <c r="M28" s="246"/>
      <c r="N28" s="400" t="s">
        <v>224</v>
      </c>
      <c r="O28" s="246"/>
      <c r="P28" s="399" t="s">
        <v>1222</v>
      </c>
      <c r="Q28" s="246"/>
      <c r="R28" s="227"/>
      <c r="S28" s="246"/>
    </row>
    <row r="29" spans="1:19" s="328" customFormat="1" ht="96.6" x14ac:dyDescent="0.3">
      <c r="A29" s="507"/>
      <c r="B29" s="325" t="s">
        <v>176</v>
      </c>
      <c r="C29" s="242"/>
      <c r="D29" s="224" t="s">
        <v>171</v>
      </c>
      <c r="E29" s="242"/>
      <c r="F29" s="243" t="s">
        <v>221</v>
      </c>
      <c r="G29" s="242"/>
      <c r="H29" s="245" t="s">
        <v>213</v>
      </c>
      <c r="I29" s="242"/>
      <c r="J29" s="330"/>
      <c r="K29" s="246"/>
      <c r="L29" s="403" t="s">
        <v>225</v>
      </c>
      <c r="M29" s="246"/>
      <c r="N29" s="399" t="s">
        <v>226</v>
      </c>
      <c r="O29" s="246"/>
      <c r="P29" s="454"/>
      <c r="Q29" s="246"/>
      <c r="R29" s="227"/>
      <c r="S29" s="246"/>
    </row>
    <row r="30" spans="1:19" s="328" customFormat="1" ht="27.6" x14ac:dyDescent="0.3">
      <c r="A30" s="507"/>
      <c r="B30" s="327" t="s">
        <v>198</v>
      </c>
      <c r="C30" s="242"/>
      <c r="D30" s="224" t="s">
        <v>171</v>
      </c>
      <c r="E30" s="242"/>
      <c r="F30" s="243" t="s">
        <v>221</v>
      </c>
      <c r="G30" s="242"/>
      <c r="H30" s="245" t="s">
        <v>213</v>
      </c>
      <c r="I30" s="242"/>
      <c r="J30" s="330"/>
      <c r="K30" s="246"/>
      <c r="L30" s="227" t="s">
        <v>219</v>
      </c>
      <c r="M30" s="246"/>
      <c r="N30" s="399" t="s">
        <v>227</v>
      </c>
      <c r="O30" s="246"/>
      <c r="P30" s="399" t="s">
        <v>1224</v>
      </c>
      <c r="Q30" s="246"/>
      <c r="R30" s="227"/>
      <c r="S30" s="246"/>
    </row>
    <row r="31" spans="1:19" s="328" customFormat="1" ht="27.6" x14ac:dyDescent="0.3">
      <c r="A31" s="507"/>
      <c r="B31" s="325" t="s">
        <v>202</v>
      </c>
      <c r="C31" s="242"/>
      <c r="D31" s="224" t="s">
        <v>73</v>
      </c>
      <c r="E31" s="242"/>
      <c r="F31" s="245"/>
      <c r="G31" s="242"/>
      <c r="H31" s="245" t="s">
        <v>228</v>
      </c>
      <c r="I31" s="242"/>
      <c r="J31" s="330"/>
      <c r="K31" s="246"/>
      <c r="L31" s="227" t="s">
        <v>219</v>
      </c>
      <c r="M31" s="246"/>
      <c r="N31" s="399" t="s">
        <v>229</v>
      </c>
      <c r="O31" s="246"/>
      <c r="P31" s="399" t="s">
        <v>1218</v>
      </c>
      <c r="Q31" s="246"/>
      <c r="R31" s="227"/>
      <c r="S31" s="246"/>
    </row>
    <row r="32" spans="1:19" s="328" customFormat="1" x14ac:dyDescent="0.3">
      <c r="A32" s="329"/>
      <c r="B32" s="328" t="s">
        <v>203</v>
      </c>
      <c r="K32" s="246"/>
      <c r="L32" s="246"/>
      <c r="M32" s="246"/>
      <c r="N32" s="246"/>
      <c r="O32" s="246"/>
      <c r="P32" s="457"/>
      <c r="Q32" s="246"/>
      <c r="R32" s="246"/>
      <c r="S32" s="246"/>
    </row>
    <row r="33" spans="1:16" s="249" customFormat="1" x14ac:dyDescent="0.3">
      <c r="A33" s="248"/>
      <c r="B33" s="331"/>
      <c r="P33" s="458"/>
    </row>
  </sheetData>
  <mergeCells count="3">
    <mergeCell ref="A9:A19"/>
    <mergeCell ref="A21:A31"/>
    <mergeCell ref="J10:J19"/>
  </mergeCells>
  <hyperlinks>
    <hyperlink ref="F28" r:id="rId1" xr:uid="{49C6F655-AA15-4A9A-9E04-663C3A73EBC7}"/>
    <hyperlink ref="F23" r:id="rId2" xr:uid="{93FD71B1-039F-4AB4-8784-07D3096A1967}"/>
    <hyperlink ref="F24" r:id="rId3" xr:uid="{4B2E92F1-22F5-4871-8BBC-8AD02B4382A4}"/>
    <hyperlink ref="F12" r:id="rId4" xr:uid="{6AA160E9-A61D-4FB1-A963-8796AB194DAF}"/>
    <hyperlink ref="F13" r:id="rId5" xr:uid="{719C6EC6-1819-4233-80FB-6670A8D3B6A6}"/>
    <hyperlink ref="F11" r:id="rId6" xr:uid="{8C1BCAD3-460B-4988-A69C-E8D3539AEE3A}"/>
    <hyperlink ref="F16" r:id="rId7" xr:uid="{24FAB997-7BDF-4392-9488-AB15C91FD74F}"/>
    <hyperlink ref="F17" r:id="rId8" xr:uid="{CE3E52BD-DE9A-4C63-9475-530408EC8918}"/>
    <hyperlink ref="F29" r:id="rId9" xr:uid="{C72900FF-07B1-4B4A-9E90-1BC30E0E5B75}"/>
    <hyperlink ref="F30" r:id="rId10" xr:uid="{D6893A89-2D07-43CC-BD27-732B1AE970F3}"/>
    <hyperlink ref="P24" r:id="rId11" xr:uid="{D055535A-C02C-416F-AFB1-5558A4FD4077}"/>
  </hyperlinks>
  <pageMargins left="0.70866141732283505" right="0.70866141732283505" top="0.74803149606299202" bottom="0.74803149606299202" header="0.31496062992126" footer="0.31496062992126"/>
  <pageSetup paperSize="8" orientation="landscape" horizontalDpi="1200" verticalDpi="1200" r:id="rId12"/>
</worksheet>
</file>

<file path=xl/worksheets/sheet5.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1A4ED-E0C5-DF4D-986A-BF8B7C33AC58}">
  <sheetPr codeName="Sheet5"/>
  <dimension ref="A1:S22"/>
  <sheetViews>
    <sheetView topLeftCell="K11" zoomScale="105" zoomScaleNormal="80" workbookViewId="0">
      <selection activeCell="P15" sqref="P15"/>
    </sheetView>
  </sheetViews>
  <sheetFormatPr defaultColWidth="10.5" defaultRowHeight="13.8" x14ac:dyDescent="0.3"/>
  <cols>
    <col min="1" max="1" width="12" style="220" customWidth="1"/>
    <col min="2" max="2" width="41" style="220" customWidth="1"/>
    <col min="3" max="3" width="3.5" style="220" customWidth="1"/>
    <col min="4" max="4" width="39.3984375" style="220" customWidth="1"/>
    <col min="5" max="5" width="3.5" style="220" customWidth="1"/>
    <col min="6" max="6" width="61.69921875" style="220" customWidth="1"/>
    <col min="7" max="7" width="3.5" style="220" customWidth="1"/>
    <col min="8" max="8" width="51.5" style="220" customWidth="1"/>
    <col min="9" max="9" width="3.5" style="220" customWidth="1"/>
    <col min="10" max="10" width="54" style="220" customWidth="1"/>
    <col min="11" max="11" width="3" style="220" customWidth="1"/>
    <col min="12" max="12" width="39.5" style="220" customWidth="1"/>
    <col min="13" max="13" width="3" style="220" customWidth="1"/>
    <col min="14" max="14" width="39.5" style="220" customWidth="1"/>
    <col min="15" max="15" width="3" style="220" customWidth="1"/>
    <col min="16" max="16" width="39.5" style="455" customWidth="1"/>
    <col min="17" max="17" width="3" style="220" customWidth="1"/>
    <col min="18" max="18" width="39.5" style="220" customWidth="1"/>
    <col min="19" max="19" width="3" style="220" customWidth="1"/>
    <col min="20" max="16384" width="10.5" style="220"/>
  </cols>
  <sheetData>
    <row r="1" spans="1:19" x14ac:dyDescent="0.3">
      <c r="A1" s="219" t="s">
        <v>230</v>
      </c>
    </row>
    <row r="3" spans="1:19" s="223" customFormat="1" ht="69.900000000000006" customHeight="1" x14ac:dyDescent="0.3">
      <c r="A3" s="221" t="s">
        <v>231</v>
      </c>
      <c r="B3" s="222" t="s">
        <v>232</v>
      </c>
      <c r="D3" s="224" t="s">
        <v>106</v>
      </c>
      <c r="F3" s="225"/>
      <c r="H3" s="225"/>
      <c r="J3" s="226"/>
      <c r="L3" s="227"/>
      <c r="N3" s="227"/>
      <c r="P3" s="399"/>
      <c r="R3" s="227"/>
    </row>
    <row r="4" spans="1:19" s="238" customFormat="1" x14ac:dyDescent="0.3">
      <c r="A4" s="332"/>
      <c r="B4" s="237"/>
      <c r="D4" s="237"/>
      <c r="F4" s="237"/>
      <c r="H4" s="237"/>
      <c r="J4" s="239"/>
      <c r="L4" s="239"/>
      <c r="N4" s="239"/>
      <c r="P4" s="456"/>
      <c r="R4" s="239"/>
    </row>
    <row r="5" spans="1:19" s="232" customFormat="1" ht="104.25" customHeight="1" x14ac:dyDescent="0.3">
      <c r="A5" s="333"/>
      <c r="B5" s="334" t="s">
        <v>107</v>
      </c>
      <c r="D5" s="233" t="s">
        <v>108</v>
      </c>
      <c r="E5" s="234"/>
      <c r="F5" s="233" t="s">
        <v>109</v>
      </c>
      <c r="G5" s="234"/>
      <c r="H5" s="233" t="s">
        <v>110</v>
      </c>
      <c r="J5" s="235" t="s">
        <v>111</v>
      </c>
      <c r="K5" s="234"/>
      <c r="L5" s="235" t="s">
        <v>112</v>
      </c>
      <c r="M5" s="234"/>
      <c r="N5" s="235" t="s">
        <v>113</v>
      </c>
      <c r="O5" s="234"/>
      <c r="P5" s="235" t="s">
        <v>114</v>
      </c>
      <c r="Q5" s="234"/>
      <c r="R5" s="235" t="s">
        <v>115</v>
      </c>
      <c r="S5" s="234"/>
    </row>
    <row r="6" spans="1:19" s="238" customFormat="1" x14ac:dyDescent="0.3">
      <c r="A6" s="332"/>
      <c r="B6" s="237"/>
      <c r="D6" s="237"/>
      <c r="F6" s="237"/>
      <c r="H6" s="237"/>
      <c r="J6" s="239"/>
      <c r="L6" s="239"/>
      <c r="N6" s="239"/>
      <c r="P6" s="456"/>
      <c r="R6" s="239"/>
    </row>
    <row r="7" spans="1:19" s="229" customFormat="1" ht="96" customHeight="1" x14ac:dyDescent="0.3">
      <c r="A7" s="491" t="s">
        <v>116</v>
      </c>
      <c r="B7" s="242" t="s">
        <v>233</v>
      </c>
      <c r="D7" s="224" t="s">
        <v>234</v>
      </c>
      <c r="F7" s="341" t="s">
        <v>235</v>
      </c>
      <c r="G7" s="242"/>
      <c r="H7" s="245" t="s">
        <v>236</v>
      </c>
      <c r="I7" s="242"/>
      <c r="J7" s="513"/>
      <c r="K7" s="242"/>
      <c r="L7" s="399" t="s">
        <v>237</v>
      </c>
      <c r="M7" s="238"/>
      <c r="N7" s="400" t="s">
        <v>238</v>
      </c>
      <c r="O7" s="238"/>
      <c r="P7" s="453" t="s">
        <v>1167</v>
      </c>
      <c r="Q7" s="238"/>
      <c r="R7" s="227"/>
      <c r="S7" s="242"/>
    </row>
    <row r="8" spans="1:19" s="229" customFormat="1" ht="50.25" customHeight="1" x14ac:dyDescent="0.3">
      <c r="A8" s="491"/>
      <c r="B8" s="242" t="s">
        <v>239</v>
      </c>
      <c r="D8" s="224" t="s">
        <v>234</v>
      </c>
      <c r="F8" s="341" t="s">
        <v>235</v>
      </c>
      <c r="G8" s="242"/>
      <c r="H8" s="245" t="s">
        <v>240</v>
      </c>
      <c r="I8" s="242"/>
      <c r="J8" s="514"/>
      <c r="K8" s="238"/>
      <c r="L8" s="399" t="s">
        <v>241</v>
      </c>
      <c r="M8" s="238"/>
      <c r="N8" s="227"/>
      <c r="O8" s="238"/>
      <c r="P8" s="399"/>
      <c r="Q8" s="238"/>
      <c r="R8" s="227"/>
      <c r="S8" s="238"/>
    </row>
    <row r="9" spans="1:19" s="229" customFormat="1" ht="51" customHeight="1" x14ac:dyDescent="0.3">
      <c r="A9" s="491"/>
      <c r="B9" s="242" t="s">
        <v>242</v>
      </c>
      <c r="D9" s="224" t="s">
        <v>234</v>
      </c>
      <c r="F9" s="341" t="s">
        <v>235</v>
      </c>
      <c r="G9" s="242"/>
      <c r="H9" s="245" t="s">
        <v>243</v>
      </c>
      <c r="I9" s="242"/>
      <c r="J9" s="514"/>
      <c r="K9" s="223"/>
      <c r="L9" s="399" t="s">
        <v>244</v>
      </c>
      <c r="M9" s="223"/>
      <c r="N9" s="431" t="s">
        <v>245</v>
      </c>
      <c r="O9" s="223"/>
      <c r="P9" s="399" t="s">
        <v>1219</v>
      </c>
      <c r="Q9" s="223"/>
      <c r="R9" s="227"/>
      <c r="S9" s="223"/>
    </row>
    <row r="10" spans="1:19" s="229" customFormat="1" ht="96.6" x14ac:dyDescent="0.3">
      <c r="A10" s="491"/>
      <c r="B10" s="242" t="s">
        <v>246</v>
      </c>
      <c r="D10" s="224" t="s">
        <v>234</v>
      </c>
      <c r="F10" s="341" t="s">
        <v>235</v>
      </c>
      <c r="G10" s="242"/>
      <c r="H10" s="245" t="s">
        <v>247</v>
      </c>
      <c r="I10" s="242"/>
      <c r="J10" s="514"/>
      <c r="K10" s="238"/>
      <c r="L10" s="399" t="s">
        <v>248</v>
      </c>
      <c r="M10" s="238"/>
      <c r="N10" s="400" t="s">
        <v>249</v>
      </c>
      <c r="O10" s="238"/>
      <c r="P10" s="399" t="s">
        <v>1226</v>
      </c>
      <c r="Q10" s="238"/>
      <c r="R10" s="227"/>
      <c r="S10" s="238"/>
    </row>
    <row r="11" spans="1:19" s="229" customFormat="1" ht="36.9" customHeight="1" x14ac:dyDescent="0.3">
      <c r="A11" s="491"/>
      <c r="B11" s="242" t="s">
        <v>250</v>
      </c>
      <c r="D11" s="224" t="s">
        <v>251</v>
      </c>
      <c r="F11" s="341"/>
      <c r="G11" s="242"/>
      <c r="H11" s="245" t="s">
        <v>252</v>
      </c>
      <c r="I11" s="242"/>
      <c r="J11" s="514"/>
      <c r="K11" s="242"/>
      <c r="L11" s="399" t="s">
        <v>253</v>
      </c>
      <c r="M11" s="242"/>
      <c r="N11" s="399" t="s">
        <v>254</v>
      </c>
      <c r="O11" s="242"/>
      <c r="P11" s="399" t="s">
        <v>1220</v>
      </c>
      <c r="Q11" s="242"/>
      <c r="R11" s="227"/>
      <c r="S11" s="242"/>
    </row>
    <row r="12" spans="1:19" s="229" customFormat="1" ht="82.8" x14ac:dyDescent="0.3">
      <c r="A12" s="511"/>
      <c r="B12" s="242" t="s">
        <v>255</v>
      </c>
      <c r="D12" s="224" t="s">
        <v>234</v>
      </c>
      <c r="F12" s="341" t="s">
        <v>235</v>
      </c>
      <c r="G12" s="242"/>
      <c r="H12" s="245" t="s">
        <v>243</v>
      </c>
      <c r="I12" s="242"/>
      <c r="J12" s="514"/>
      <c r="K12" s="242"/>
      <c r="L12" s="399" t="s">
        <v>256</v>
      </c>
      <c r="M12" s="242"/>
      <c r="N12" s="399" t="s">
        <v>257</v>
      </c>
      <c r="O12" s="242"/>
      <c r="P12" s="399" t="s">
        <v>1220</v>
      </c>
      <c r="Q12" s="242"/>
      <c r="R12" s="227"/>
      <c r="S12" s="242"/>
    </row>
    <row r="13" spans="1:19" s="229" customFormat="1" ht="36.9" customHeight="1" x14ac:dyDescent="0.3">
      <c r="A13" s="511"/>
      <c r="B13" s="242" t="s">
        <v>258</v>
      </c>
      <c r="D13" s="224" t="s">
        <v>234</v>
      </c>
      <c r="F13" s="341" t="s">
        <v>235</v>
      </c>
      <c r="G13" s="242"/>
      <c r="H13" s="245" t="s">
        <v>243</v>
      </c>
      <c r="I13" s="242"/>
      <c r="J13" s="515"/>
      <c r="K13" s="242"/>
      <c r="L13" s="227" t="s">
        <v>259</v>
      </c>
      <c r="M13" s="242"/>
      <c r="N13" s="399" t="s">
        <v>260</v>
      </c>
      <c r="O13" s="242"/>
      <c r="P13" s="399" t="s">
        <v>1227</v>
      </c>
      <c r="Q13" s="242"/>
      <c r="R13" s="227"/>
      <c r="S13" s="242"/>
    </row>
    <row r="14" spans="1:19" s="246" customFormat="1" ht="20.25" customHeight="1" x14ac:dyDescent="0.3">
      <c r="A14" s="335"/>
      <c r="B14" s="325"/>
      <c r="G14" s="242"/>
      <c r="I14" s="242"/>
      <c r="J14" s="242"/>
      <c r="L14" s="229"/>
      <c r="N14" s="229"/>
      <c r="P14" s="361"/>
      <c r="R14" s="229"/>
    </row>
    <row r="15" spans="1:19" s="229" customFormat="1" ht="80.400000000000006" customHeight="1" x14ac:dyDescent="0.3">
      <c r="A15" s="512" t="s">
        <v>145</v>
      </c>
      <c r="B15" s="242" t="s">
        <v>261</v>
      </c>
      <c r="D15" s="224" t="s">
        <v>234</v>
      </c>
      <c r="F15" s="341" t="s">
        <v>262</v>
      </c>
      <c r="G15" s="242"/>
      <c r="H15" s="245" t="s">
        <v>263</v>
      </c>
      <c r="I15" s="242"/>
      <c r="J15" s="508"/>
      <c r="K15" s="246"/>
      <c r="L15" s="399" t="s">
        <v>264</v>
      </c>
      <c r="M15" s="246"/>
      <c r="N15" s="429" t="s">
        <v>265</v>
      </c>
      <c r="O15" s="246"/>
      <c r="P15" s="399" t="s">
        <v>1225</v>
      </c>
      <c r="Q15" s="246"/>
      <c r="R15" s="227"/>
      <c r="S15" s="246"/>
    </row>
    <row r="16" spans="1:19" s="229" customFormat="1" ht="50.1" customHeight="1" x14ac:dyDescent="0.3">
      <c r="A16" s="512"/>
      <c r="B16" s="242" t="s">
        <v>239</v>
      </c>
      <c r="D16" s="224" t="s">
        <v>251</v>
      </c>
      <c r="F16" s="341"/>
      <c r="G16" s="242"/>
      <c r="H16" s="245" t="s">
        <v>266</v>
      </c>
      <c r="I16" s="242"/>
      <c r="J16" s="509"/>
      <c r="K16" s="246"/>
      <c r="L16" s="399" t="s">
        <v>267</v>
      </c>
      <c r="M16" s="246"/>
      <c r="N16" s="227" t="s">
        <v>268</v>
      </c>
      <c r="O16" s="246"/>
      <c r="P16" s="399" t="s">
        <v>1222</v>
      </c>
      <c r="Q16" s="246"/>
      <c r="R16" s="227"/>
      <c r="S16" s="246"/>
    </row>
    <row r="17" spans="1:19" s="229" customFormat="1" ht="59.1" customHeight="1" x14ac:dyDescent="0.3">
      <c r="A17" s="512"/>
      <c r="B17" s="242" t="s">
        <v>242</v>
      </c>
      <c r="D17" s="224" t="s">
        <v>234</v>
      </c>
      <c r="F17" s="341" t="s">
        <v>269</v>
      </c>
      <c r="G17" s="242"/>
      <c r="H17" s="245" t="s">
        <v>270</v>
      </c>
      <c r="I17" s="242"/>
      <c r="J17" s="509"/>
      <c r="K17" s="246"/>
      <c r="L17" s="399" t="s">
        <v>271</v>
      </c>
      <c r="M17" s="246"/>
      <c r="N17" s="399" t="s">
        <v>272</v>
      </c>
      <c r="O17" s="246"/>
      <c r="P17" s="399" t="s">
        <v>1222</v>
      </c>
      <c r="Q17" s="246"/>
      <c r="R17" s="227"/>
      <c r="S17" s="246"/>
    </row>
    <row r="18" spans="1:19" s="229" customFormat="1" ht="36.9" customHeight="1" x14ac:dyDescent="0.3">
      <c r="A18" s="512"/>
      <c r="B18" s="242" t="s">
        <v>246</v>
      </c>
      <c r="D18" s="224" t="s">
        <v>234</v>
      </c>
      <c r="F18" s="341" t="s">
        <v>262</v>
      </c>
      <c r="G18" s="328"/>
      <c r="H18" s="245" t="s">
        <v>273</v>
      </c>
      <c r="I18" s="328"/>
      <c r="J18" s="509"/>
      <c r="K18" s="246"/>
      <c r="L18" s="399" t="s">
        <v>274</v>
      </c>
      <c r="M18" s="246"/>
      <c r="N18" s="227" t="s">
        <v>275</v>
      </c>
      <c r="O18" s="246"/>
      <c r="P18" s="399" t="s">
        <v>1222</v>
      </c>
      <c r="Q18" s="246"/>
      <c r="R18" s="227"/>
      <c r="S18" s="246"/>
    </row>
    <row r="19" spans="1:19" s="229" customFormat="1" ht="36.9" customHeight="1" x14ac:dyDescent="0.3">
      <c r="A19" s="512"/>
      <c r="B19" s="242" t="s">
        <v>250</v>
      </c>
      <c r="D19" s="224" t="s">
        <v>251</v>
      </c>
      <c r="F19" s="341"/>
      <c r="G19" s="242"/>
      <c r="H19" s="245" t="s">
        <v>276</v>
      </c>
      <c r="I19" s="242"/>
      <c r="J19" s="509"/>
      <c r="K19" s="246"/>
      <c r="L19" s="399" t="s">
        <v>277</v>
      </c>
      <c r="M19" s="246"/>
      <c r="N19" s="227"/>
      <c r="O19" s="246"/>
      <c r="P19" s="399"/>
      <c r="Q19" s="246"/>
      <c r="R19" s="227"/>
      <c r="S19" s="246"/>
    </row>
    <row r="20" spans="1:19" s="229" customFormat="1" ht="51.9" customHeight="1" x14ac:dyDescent="0.3">
      <c r="A20" s="511"/>
      <c r="B20" s="242" t="s">
        <v>255</v>
      </c>
      <c r="D20" s="224" t="s">
        <v>251</v>
      </c>
      <c r="F20" s="341"/>
      <c r="G20" s="242"/>
      <c r="H20" s="245" t="s">
        <v>278</v>
      </c>
      <c r="I20" s="242"/>
      <c r="J20" s="509"/>
      <c r="K20" s="246"/>
      <c r="L20" s="399" t="s">
        <v>279</v>
      </c>
      <c r="M20" s="246"/>
      <c r="N20" s="227" t="s">
        <v>280</v>
      </c>
      <c r="O20" s="246"/>
      <c r="P20" s="399" t="s">
        <v>1222</v>
      </c>
      <c r="Q20" s="246"/>
      <c r="R20" s="227"/>
      <c r="S20" s="246"/>
    </row>
    <row r="21" spans="1:19" s="229" customFormat="1" ht="36.9" customHeight="1" x14ac:dyDescent="0.3">
      <c r="A21" s="511"/>
      <c r="B21" s="242" t="s">
        <v>258</v>
      </c>
      <c r="D21" s="224" t="s">
        <v>251</v>
      </c>
      <c r="F21" s="341"/>
      <c r="G21" s="242"/>
      <c r="H21" s="245" t="s">
        <v>281</v>
      </c>
      <c r="I21" s="242"/>
      <c r="J21" s="510"/>
      <c r="K21" s="246"/>
      <c r="L21" s="227" t="s">
        <v>282</v>
      </c>
      <c r="M21" s="246"/>
      <c r="N21" s="399" t="s">
        <v>283</v>
      </c>
      <c r="O21" s="246"/>
      <c r="P21" s="399" t="s">
        <v>1228</v>
      </c>
      <c r="Q21" s="246"/>
      <c r="R21" s="227"/>
      <c r="S21" s="246"/>
    </row>
    <row r="22" spans="1:19" s="249" customFormat="1" x14ac:dyDescent="0.3">
      <c r="A22" s="336"/>
      <c r="P22" s="458"/>
    </row>
  </sheetData>
  <mergeCells count="4">
    <mergeCell ref="A7:A13"/>
    <mergeCell ref="A15:A21"/>
    <mergeCell ref="J7:J13"/>
    <mergeCell ref="J15:J21"/>
  </mergeCells>
  <hyperlinks>
    <hyperlink ref="F9" r:id="rId1" xr:uid="{9CF47F31-F00D-4551-80AE-893F630F5B47}"/>
    <hyperlink ref="F10" r:id="rId2" xr:uid="{4201E1FE-31C5-4DC5-A320-67BD4580CC7C}"/>
    <hyperlink ref="F15" r:id="rId3" xr:uid="{F205F621-92C0-4374-B31F-BAE0D8BBAF8A}"/>
    <hyperlink ref="F17" r:id="rId4" xr:uid="{50AB45B7-4AF1-4158-BE53-A68024A97C44}"/>
    <hyperlink ref="F12" r:id="rId5" xr:uid="{D3429BE2-ECC0-4AC6-BB01-36EAB68A5EB6}"/>
    <hyperlink ref="F13" r:id="rId6" xr:uid="{2B8A1203-1C30-499A-8594-B48B04ECFD1A}"/>
    <hyperlink ref="F18" r:id="rId7" xr:uid="{C2D4E70E-B89F-41B3-985A-53C1905B29F5}"/>
    <hyperlink ref="F7" r:id="rId8" xr:uid="{F3BD4889-3569-4DC9-84BE-4BA07F208ECE}"/>
    <hyperlink ref="F8" r:id="rId9" xr:uid="{E9F7B2A6-0200-42EB-9F13-AEA2C57649DB}"/>
    <hyperlink ref="P7" r:id="rId10" xr:uid="{4126A0D0-E48A-4E69-B733-AEE35CB83515}"/>
  </hyperlinks>
  <pageMargins left="0.70866141732283472" right="0.70866141732283472" top="0.74803149606299213" bottom="0.74803149606299213" header="0.31496062992125984" footer="0.31496062992125984"/>
  <pageSetup paperSize="8" orientation="landscape" horizontalDpi="1200" verticalDpi="1200" r:id="rId11"/>
</worksheet>
</file>

<file path=xl/worksheets/sheet6.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78178-1AB8-FC42-A246-B23CAC0D8D50}">
  <sheetPr codeName="Sheet6"/>
  <dimension ref="A1:S14"/>
  <sheetViews>
    <sheetView topLeftCell="K7" zoomScale="90" zoomScaleNormal="90" workbookViewId="0">
      <selection activeCell="P14" sqref="P14"/>
    </sheetView>
  </sheetViews>
  <sheetFormatPr defaultColWidth="10.5" defaultRowHeight="16.2" x14ac:dyDescent="0.35"/>
  <cols>
    <col min="1" max="1" width="12.5" style="166" customWidth="1"/>
    <col min="2" max="2" width="49.8984375" style="166" customWidth="1"/>
    <col min="3" max="3" width="3.8984375" style="166" customWidth="1"/>
    <col min="4" max="4" width="41" style="166" customWidth="1"/>
    <col min="5" max="5" width="3.8984375" style="166" customWidth="1"/>
    <col min="6" max="6" width="55.09765625" style="166" customWidth="1"/>
    <col min="7" max="7" width="3.8984375" style="166" customWidth="1"/>
    <col min="8" max="8" width="36.3984375" style="166" customWidth="1"/>
    <col min="9" max="9" width="3.8984375" style="166" customWidth="1"/>
    <col min="10" max="10" width="48"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81" t="s">
        <v>284</v>
      </c>
    </row>
    <row r="3" spans="1:19" s="40" customFormat="1" ht="105" x14ac:dyDescent="0.3">
      <c r="A3" s="206" t="s">
        <v>285</v>
      </c>
      <c r="B3" s="57" t="s">
        <v>286</v>
      </c>
      <c r="D3" s="10" t="s">
        <v>106</v>
      </c>
      <c r="F3" s="58"/>
      <c r="H3" s="58"/>
      <c r="J3" s="49"/>
      <c r="L3" s="39"/>
      <c r="N3" s="39"/>
      <c r="P3" s="39"/>
      <c r="R3" s="39"/>
    </row>
    <row r="4" spans="1:19" s="38" customFormat="1" ht="18.600000000000001" x14ac:dyDescent="0.3">
      <c r="A4" s="56"/>
      <c r="B4" s="47"/>
      <c r="D4" s="47"/>
      <c r="F4" s="47"/>
      <c r="H4" s="47"/>
      <c r="J4" s="48"/>
      <c r="L4" s="48"/>
      <c r="N4" s="48"/>
      <c r="P4" s="48"/>
      <c r="R4" s="48"/>
    </row>
    <row r="5" spans="1:19" s="53" customFormat="1" ht="74.400000000000006" x14ac:dyDescent="0.3">
      <c r="A5" s="51"/>
      <c r="B5" s="83"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8"/>
    </row>
    <row r="7" spans="1:19" s="9" customFormat="1" ht="168.9" customHeight="1" x14ac:dyDescent="0.3">
      <c r="A7" s="14"/>
      <c r="B7" s="82" t="s">
        <v>287</v>
      </c>
      <c r="D7" s="10" t="s">
        <v>251</v>
      </c>
      <c r="F7" s="341"/>
      <c r="G7" s="18"/>
      <c r="H7" s="84" t="s">
        <v>288</v>
      </c>
      <c r="I7" s="18"/>
      <c r="J7" s="516" t="s">
        <v>289</v>
      </c>
      <c r="K7" s="18"/>
      <c r="L7" s="403" t="s">
        <v>290</v>
      </c>
      <c r="M7" s="38"/>
      <c r="N7" s="400" t="s">
        <v>291</v>
      </c>
      <c r="O7" s="38"/>
      <c r="P7" s="432"/>
      <c r="Q7" s="38"/>
      <c r="R7" s="39"/>
      <c r="S7" s="18"/>
    </row>
    <row r="8" spans="1:19" s="9" customFormat="1" ht="55.2" x14ac:dyDescent="0.3">
      <c r="A8" s="14"/>
      <c r="B8" s="195" t="s">
        <v>292</v>
      </c>
      <c r="D8" s="10" t="s">
        <v>204</v>
      </c>
      <c r="F8" s="342"/>
      <c r="G8" s="18"/>
      <c r="H8" s="84"/>
      <c r="I8" s="18"/>
      <c r="J8" s="517"/>
      <c r="K8" s="38"/>
      <c r="L8" s="405" t="s">
        <v>293</v>
      </c>
      <c r="M8" s="38"/>
      <c r="N8" s="399" t="s">
        <v>294</v>
      </c>
      <c r="O8" s="38"/>
      <c r="P8" s="39"/>
      <c r="Q8" s="38"/>
      <c r="R8" s="39"/>
      <c r="S8" s="38"/>
    </row>
    <row r="9" spans="1:19" s="9" customFormat="1" ht="48.6" x14ac:dyDescent="0.3">
      <c r="A9" s="14"/>
      <c r="B9" s="195" t="s">
        <v>295</v>
      </c>
      <c r="D9" s="10" t="s">
        <v>204</v>
      </c>
      <c r="F9" s="342"/>
      <c r="G9" s="18"/>
      <c r="H9" s="84"/>
      <c r="I9" s="18"/>
      <c r="J9" s="517"/>
      <c r="K9" s="40"/>
      <c r="L9" s="405" t="s">
        <v>293</v>
      </c>
      <c r="M9" s="40"/>
      <c r="N9" s="227" t="s">
        <v>191</v>
      </c>
      <c r="O9" s="40"/>
      <c r="P9" s="39"/>
      <c r="Q9" s="40"/>
      <c r="R9" s="39"/>
      <c r="S9" s="40"/>
    </row>
    <row r="10" spans="1:19" s="9" customFormat="1" ht="18.600000000000001" x14ac:dyDescent="0.3">
      <c r="A10" s="14"/>
      <c r="B10" s="82" t="s">
        <v>296</v>
      </c>
      <c r="D10" s="10" t="s">
        <v>204</v>
      </c>
      <c r="F10" s="84"/>
      <c r="G10" s="18"/>
      <c r="H10" s="84"/>
      <c r="I10" s="18"/>
      <c r="J10" s="517"/>
      <c r="K10" s="38"/>
      <c r="L10" s="227" t="s">
        <v>297</v>
      </c>
      <c r="M10" s="238"/>
      <c r="N10" s="227" t="s">
        <v>191</v>
      </c>
      <c r="O10" s="38"/>
      <c r="P10" s="39"/>
      <c r="Q10" s="38"/>
      <c r="R10" s="39"/>
      <c r="S10" s="38"/>
    </row>
    <row r="11" spans="1:19" s="9" customFormat="1" ht="15" x14ac:dyDescent="0.3">
      <c r="A11" s="14"/>
      <c r="B11" s="82" t="s">
        <v>298</v>
      </c>
      <c r="D11" s="10" t="s">
        <v>204</v>
      </c>
      <c r="F11" s="84"/>
      <c r="G11" s="18"/>
      <c r="H11" s="84"/>
      <c r="I11" s="18"/>
      <c r="J11" s="517"/>
      <c r="K11" s="18"/>
      <c r="L11" s="227" t="s">
        <v>297</v>
      </c>
      <c r="M11" s="242"/>
      <c r="N11" s="227" t="s">
        <v>191</v>
      </c>
      <c r="O11" s="18"/>
      <c r="P11" s="39"/>
      <c r="Q11" s="18"/>
      <c r="R11" s="39"/>
      <c r="S11" s="18"/>
    </row>
    <row r="12" spans="1:19" s="9" customFormat="1" ht="15" x14ac:dyDescent="0.3">
      <c r="A12" s="14"/>
      <c r="B12" s="28" t="s">
        <v>299</v>
      </c>
      <c r="D12" s="10" t="s">
        <v>204</v>
      </c>
      <c r="F12" s="84"/>
      <c r="G12" s="18"/>
      <c r="H12" s="84"/>
      <c r="I12" s="18"/>
      <c r="J12" s="517"/>
      <c r="K12" s="18"/>
      <c r="L12" s="227" t="s">
        <v>297</v>
      </c>
      <c r="M12" s="242"/>
      <c r="N12" s="227"/>
      <c r="O12" s="18"/>
      <c r="P12" s="39"/>
      <c r="Q12" s="18"/>
      <c r="R12" s="39"/>
      <c r="S12" s="18"/>
    </row>
    <row r="13" spans="1:19" s="168" customFormat="1" ht="47.4" customHeight="1" x14ac:dyDescent="0.35">
      <c r="A13" s="14"/>
      <c r="B13" s="196" t="s">
        <v>300</v>
      </c>
      <c r="D13" s="10" t="s">
        <v>204</v>
      </c>
      <c r="E13" s="9"/>
      <c r="F13" s="84"/>
      <c r="G13" s="18"/>
      <c r="H13" s="84"/>
      <c r="I13" s="18"/>
      <c r="J13" s="517"/>
      <c r="K13" s="18"/>
      <c r="L13" s="399" t="s">
        <v>301</v>
      </c>
      <c r="M13" s="242"/>
      <c r="N13" s="399" t="s">
        <v>302</v>
      </c>
      <c r="O13" s="18"/>
      <c r="P13" s="39" t="s">
        <v>1229</v>
      </c>
      <c r="Q13" s="18"/>
      <c r="R13" s="39"/>
      <c r="S13" s="18"/>
    </row>
    <row r="14" spans="1:19" ht="165.6" x14ac:dyDescent="0.35">
      <c r="A14" s="15"/>
      <c r="B14" s="197" t="s">
        <v>303</v>
      </c>
      <c r="C14" s="198"/>
      <c r="D14" s="12" t="s">
        <v>204</v>
      </c>
      <c r="E14" s="11"/>
      <c r="F14" s="199"/>
      <c r="G14" s="200"/>
      <c r="H14" s="199"/>
      <c r="I14" s="200"/>
      <c r="J14" s="518"/>
      <c r="K14" s="200"/>
      <c r="L14" s="406" t="s">
        <v>304</v>
      </c>
      <c r="M14" s="407"/>
      <c r="N14" s="399" t="s">
        <v>302</v>
      </c>
      <c r="O14" s="200"/>
      <c r="P14" s="399" t="s">
        <v>1225</v>
      </c>
      <c r="Q14" s="200"/>
      <c r="R14" s="41"/>
      <c r="S14" s="200"/>
    </row>
  </sheetData>
  <mergeCells count="1">
    <mergeCell ref="J7:J14"/>
  </mergeCells>
  <pageMargins left="0.25" right="0.25" top="0.75" bottom="0.75" header="0.3" footer="0.3"/>
  <pageSetup paperSize="8" orientation="landscape" horizontalDpi="1200" verticalDpi="1200" r:id="rId1"/>
</worksheet>
</file>

<file path=xl/worksheets/sheet7.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DB9DC-5D13-044A-B3E3-35E86CDB8F81}">
  <sheetPr codeName="Sheet7"/>
  <dimension ref="A1:S19"/>
  <sheetViews>
    <sheetView topLeftCell="I7" zoomScale="80" zoomScaleNormal="80" zoomScalePageLayoutView="85" workbookViewId="0">
      <selection activeCell="N17" sqref="N17"/>
    </sheetView>
  </sheetViews>
  <sheetFormatPr defaultColWidth="10.5" defaultRowHeight="16.2" x14ac:dyDescent="0.35"/>
  <cols>
    <col min="1" max="1" width="18" style="166" customWidth="1"/>
    <col min="2" max="2" width="37" style="179" customWidth="1"/>
    <col min="3" max="3" width="3.5" style="166" customWidth="1"/>
    <col min="4" max="4" width="41.3984375" style="166" customWidth="1"/>
    <col min="5" max="5" width="3.5" style="166" customWidth="1"/>
    <col min="6" max="6" width="61.5" style="166" customWidth="1"/>
    <col min="7" max="7" width="3.5" style="166" customWidth="1"/>
    <col min="8" max="8" width="40.09765625" style="166" customWidth="1"/>
    <col min="9" max="9" width="3.5" style="166" customWidth="1"/>
    <col min="10" max="10" width="47.898437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298" width="10.8984375" style="166"/>
    <col min="299" max="16384" width="10.5" style="166"/>
  </cols>
  <sheetData>
    <row r="1" spans="1:19" ht="24.6" x14ac:dyDescent="0.4">
      <c r="A1" s="165" t="s">
        <v>305</v>
      </c>
    </row>
    <row r="3" spans="1:19" s="40" customFormat="1" ht="135" x14ac:dyDescent="0.3">
      <c r="A3" s="206" t="s">
        <v>306</v>
      </c>
      <c r="B3" s="57" t="s">
        <v>307</v>
      </c>
      <c r="D3" s="10" t="s">
        <v>106</v>
      </c>
      <c r="F3" s="58"/>
      <c r="H3" s="58"/>
      <c r="J3" s="49"/>
      <c r="L3" s="39"/>
      <c r="N3" s="39"/>
      <c r="P3" s="39"/>
      <c r="R3" s="39"/>
    </row>
    <row r="4" spans="1:19" s="38" customFormat="1" ht="18.600000000000001" x14ac:dyDescent="0.3">
      <c r="A4" s="56"/>
      <c r="B4" s="47"/>
      <c r="D4" s="47"/>
      <c r="F4" s="47"/>
      <c r="H4" s="47"/>
      <c r="J4" s="48"/>
      <c r="L4" s="48"/>
      <c r="N4" s="48"/>
      <c r="P4" s="48"/>
      <c r="R4" s="48"/>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8"/>
    </row>
    <row r="7" spans="1:19" s="9" customFormat="1" ht="333" customHeight="1" x14ac:dyDescent="0.3">
      <c r="A7" s="14"/>
      <c r="B7" s="16" t="s">
        <v>308</v>
      </c>
      <c r="D7" s="10" t="s">
        <v>309</v>
      </c>
      <c r="F7" s="379" t="s">
        <v>310</v>
      </c>
      <c r="G7" s="18"/>
      <c r="H7" s="84" t="s">
        <v>311</v>
      </c>
      <c r="I7" s="18"/>
      <c r="J7" s="519" t="s">
        <v>312</v>
      </c>
      <c r="K7" s="18"/>
      <c r="L7" s="399" t="s">
        <v>313</v>
      </c>
      <c r="M7" s="38"/>
      <c r="N7" s="399" t="s">
        <v>314</v>
      </c>
      <c r="O7" s="38"/>
      <c r="P7" s="404" t="s">
        <v>1230</v>
      </c>
      <c r="Q7" s="38"/>
      <c r="R7" s="39"/>
      <c r="S7" s="18"/>
    </row>
    <row r="8" spans="1:19" s="9" customFormat="1" ht="240.6" customHeight="1" x14ac:dyDescent="0.3">
      <c r="A8" s="14"/>
      <c r="B8" s="162" t="s">
        <v>315</v>
      </c>
      <c r="D8" s="10" t="s">
        <v>309</v>
      </c>
      <c r="F8" s="379" t="s">
        <v>310</v>
      </c>
      <c r="G8" s="18"/>
      <c r="H8" s="84" t="s">
        <v>311</v>
      </c>
      <c r="I8" s="18"/>
      <c r="J8" s="520"/>
      <c r="K8" s="38"/>
      <c r="L8" s="405" t="s">
        <v>316</v>
      </c>
      <c r="M8" s="38"/>
      <c r="N8" s="400" t="s">
        <v>317</v>
      </c>
      <c r="O8" s="38"/>
      <c r="P8" s="39" t="s">
        <v>1231</v>
      </c>
      <c r="Q8" s="38"/>
      <c r="R8" s="39"/>
      <c r="S8" s="38"/>
    </row>
    <row r="9" spans="1:19" s="9" customFormat="1" ht="32.25" customHeight="1" x14ac:dyDescent="0.3">
      <c r="A9" s="14"/>
      <c r="B9" s="163" t="s">
        <v>318</v>
      </c>
      <c r="D9" s="10" t="s">
        <v>297</v>
      </c>
      <c r="F9" s="342"/>
      <c r="G9" s="18"/>
      <c r="H9" s="84"/>
      <c r="I9" s="18"/>
      <c r="J9" s="520"/>
      <c r="K9" s="40"/>
      <c r="L9" s="405" t="s">
        <v>319</v>
      </c>
      <c r="M9" s="40"/>
      <c r="N9" s="39"/>
      <c r="O9" s="40"/>
      <c r="P9" s="39"/>
      <c r="Q9" s="40"/>
      <c r="R9" s="39"/>
      <c r="S9" s="40"/>
    </row>
    <row r="10" spans="1:19" s="9" customFormat="1" ht="179.4" x14ac:dyDescent="0.3">
      <c r="A10" s="14"/>
      <c r="B10" s="163" t="s">
        <v>320</v>
      </c>
      <c r="D10" s="10" t="s">
        <v>321</v>
      </c>
      <c r="F10" s="341"/>
      <c r="G10" s="18"/>
      <c r="H10" s="84" t="s">
        <v>322</v>
      </c>
      <c r="I10" s="18"/>
      <c r="J10" s="520"/>
      <c r="K10" s="40"/>
      <c r="L10" s="405" t="s">
        <v>323</v>
      </c>
      <c r="M10" s="40"/>
      <c r="N10" s="409" t="s">
        <v>324</v>
      </c>
      <c r="O10" s="40"/>
      <c r="P10" s="39" t="s">
        <v>1231</v>
      </c>
      <c r="Q10" s="40"/>
      <c r="R10" s="39"/>
      <c r="S10" s="40"/>
    </row>
    <row r="11" spans="1:19" s="9" customFormat="1" ht="71.099999999999994" customHeight="1" x14ac:dyDescent="0.3">
      <c r="A11" s="14"/>
      <c r="B11" s="161" t="s">
        <v>325</v>
      </c>
      <c r="D11" s="10" t="s">
        <v>326</v>
      </c>
      <c r="F11" s="394" t="s">
        <v>327</v>
      </c>
      <c r="G11" s="18"/>
      <c r="H11" s="84"/>
      <c r="I11" s="18"/>
      <c r="J11" s="520"/>
      <c r="K11" s="38"/>
      <c r="L11" s="410" t="s">
        <v>328</v>
      </c>
      <c r="M11" s="38"/>
      <c r="N11" s="39"/>
      <c r="O11" s="38"/>
      <c r="P11" s="39"/>
      <c r="Q11" s="38"/>
      <c r="R11" s="39"/>
      <c r="S11" s="38"/>
    </row>
    <row r="12" spans="1:19" s="9" customFormat="1" ht="32.25" customHeight="1" x14ac:dyDescent="0.3">
      <c r="A12" s="14"/>
      <c r="B12" s="163" t="s">
        <v>329</v>
      </c>
      <c r="D12" s="10" t="s">
        <v>297</v>
      </c>
      <c r="F12" s="394" t="s">
        <v>327</v>
      </c>
      <c r="G12" s="18"/>
      <c r="H12" s="84"/>
      <c r="I12" s="18"/>
      <c r="J12" s="520"/>
      <c r="K12" s="18"/>
      <c r="L12" s="405" t="s">
        <v>330</v>
      </c>
      <c r="M12" s="18"/>
      <c r="N12" s="399" t="s">
        <v>331</v>
      </c>
      <c r="O12" s="18"/>
      <c r="P12" s="39" t="s">
        <v>1231</v>
      </c>
      <c r="Q12" s="18"/>
      <c r="R12" s="39"/>
      <c r="S12" s="18"/>
    </row>
    <row r="13" spans="1:19" s="9" customFormat="1" ht="41.4" x14ac:dyDescent="0.3">
      <c r="A13" s="14"/>
      <c r="B13" s="162" t="s">
        <v>332</v>
      </c>
      <c r="D13" s="10" t="s">
        <v>58</v>
      </c>
      <c r="F13" s="341" t="s">
        <v>1234</v>
      </c>
      <c r="G13" s="18"/>
      <c r="H13" s="84" t="s">
        <v>333</v>
      </c>
      <c r="I13" s="18"/>
      <c r="J13" s="520"/>
      <c r="K13" s="18"/>
      <c r="L13" s="399" t="s">
        <v>334</v>
      </c>
      <c r="M13" s="18"/>
      <c r="N13" s="39"/>
      <c r="O13" s="18"/>
      <c r="P13" s="39"/>
      <c r="Q13" s="18"/>
      <c r="R13" s="39"/>
      <c r="S13" s="18"/>
    </row>
    <row r="14" spans="1:19" s="9" customFormat="1" ht="70.5" customHeight="1" x14ac:dyDescent="0.3">
      <c r="A14" s="14"/>
      <c r="B14" s="162" t="s">
        <v>335</v>
      </c>
      <c r="D14" s="10" t="s">
        <v>58</v>
      </c>
      <c r="F14" s="341" t="s">
        <v>1232</v>
      </c>
      <c r="G14" s="18"/>
      <c r="H14" s="84"/>
      <c r="I14" s="18"/>
      <c r="J14" s="520"/>
      <c r="K14" s="18"/>
      <c r="L14" s="399" t="s">
        <v>336</v>
      </c>
      <c r="M14" s="18"/>
      <c r="N14" s="399" t="s">
        <v>337</v>
      </c>
      <c r="O14" s="18"/>
      <c r="P14" s="39" t="s">
        <v>1233</v>
      </c>
      <c r="Q14" s="18"/>
      <c r="R14" s="39"/>
      <c r="S14" s="18"/>
    </row>
    <row r="15" spans="1:19" s="9" customFormat="1" ht="82.8" x14ac:dyDescent="0.35">
      <c r="A15" s="14"/>
      <c r="B15" s="163" t="s">
        <v>338</v>
      </c>
      <c r="D15" s="10" t="s">
        <v>58</v>
      </c>
      <c r="F15" s="461" t="s">
        <v>1235</v>
      </c>
      <c r="G15" s="169"/>
      <c r="H15" s="84"/>
      <c r="I15" s="169"/>
      <c r="J15" s="520"/>
      <c r="K15" s="169"/>
      <c r="L15" s="399" t="s">
        <v>339</v>
      </c>
      <c r="M15" s="169"/>
      <c r="N15" s="39"/>
      <c r="O15" s="169"/>
      <c r="P15" s="39" t="s">
        <v>1233</v>
      </c>
      <c r="Q15" s="169"/>
      <c r="R15" s="39"/>
      <c r="S15" s="169"/>
    </row>
    <row r="16" spans="1:19" s="9" customFormat="1" ht="82.8" x14ac:dyDescent="0.35">
      <c r="A16" s="14"/>
      <c r="B16" s="162" t="s">
        <v>340</v>
      </c>
      <c r="D16" s="10" t="s">
        <v>58</v>
      </c>
      <c r="F16" s="461" t="s">
        <v>1235</v>
      </c>
      <c r="G16" s="169"/>
      <c r="H16" s="84"/>
      <c r="I16" s="169"/>
      <c r="J16" s="520"/>
      <c r="K16" s="169"/>
      <c r="L16" s="399" t="s">
        <v>339</v>
      </c>
      <c r="M16" s="169"/>
      <c r="N16" s="39"/>
      <c r="O16" s="169"/>
      <c r="P16" s="39" t="s">
        <v>1233</v>
      </c>
      <c r="Q16" s="169"/>
      <c r="R16" s="39"/>
      <c r="S16" s="169"/>
    </row>
    <row r="17" spans="1:19" s="9" customFormat="1" ht="82.8" x14ac:dyDescent="0.35">
      <c r="A17" s="14"/>
      <c r="B17" s="164" t="s">
        <v>341</v>
      </c>
      <c r="D17" s="10" t="s">
        <v>58</v>
      </c>
      <c r="F17" s="461" t="s">
        <v>1235</v>
      </c>
      <c r="G17" s="169"/>
      <c r="H17" s="84"/>
      <c r="I17" s="169"/>
      <c r="J17" s="520"/>
      <c r="K17" s="169"/>
      <c r="L17" s="399" t="s">
        <v>339</v>
      </c>
      <c r="M17" s="169"/>
      <c r="N17" s="39"/>
      <c r="O17" s="169"/>
      <c r="P17" s="39" t="s">
        <v>1233</v>
      </c>
      <c r="Q17" s="169"/>
      <c r="R17" s="39"/>
      <c r="S17" s="169"/>
    </row>
    <row r="18" spans="1:19" s="9" customFormat="1" ht="82.8" x14ac:dyDescent="0.35">
      <c r="A18" s="14"/>
      <c r="B18" s="16" t="s">
        <v>342</v>
      </c>
      <c r="D18" s="10" t="s">
        <v>58</v>
      </c>
      <c r="F18" s="461" t="s">
        <v>1235</v>
      </c>
      <c r="G18" s="169"/>
      <c r="H18" s="84"/>
      <c r="I18" s="169"/>
      <c r="J18" s="521"/>
      <c r="K18" s="169"/>
      <c r="L18" s="399" t="s">
        <v>343</v>
      </c>
      <c r="M18" s="169"/>
      <c r="N18" s="39"/>
      <c r="O18" s="169"/>
      <c r="P18" s="39" t="s">
        <v>1233</v>
      </c>
      <c r="Q18" s="169"/>
      <c r="R18" s="39"/>
      <c r="S18" s="169"/>
    </row>
    <row r="19" spans="1:19" s="168" customFormat="1" x14ac:dyDescent="0.35">
      <c r="A19" s="167"/>
      <c r="B19" s="180"/>
    </row>
  </sheetData>
  <mergeCells count="1">
    <mergeCell ref="J7:J18"/>
  </mergeCells>
  <hyperlinks>
    <hyperlink ref="F8" r:id="rId1" xr:uid="{8F86F063-DA78-4792-B6C8-1D65A2D99CFF}"/>
    <hyperlink ref="F7" r:id="rId2" xr:uid="{B4AD1A67-AD61-4019-8500-5D8AD72057FF}"/>
    <hyperlink ref="F11" r:id="rId3" display="http://www.pngeiti.org.pg/wp-content/uploads/2021/06/PNGEITI-BO-Report.pdf" xr:uid="{3FAD96C0-9C0E-4897-A110-0CDEB2A8C306}"/>
    <hyperlink ref="F12" r:id="rId4" display="http://www.pngeiti.org.pg/wp-content/uploads/2021/06/PNGEITI-BO-Report.pdf" xr:uid="{A059DE44-F37C-47C9-A318-3908D6717F7A}"/>
    <hyperlink ref="F15" r:id="rId5" display="https://view.officeapps.live.com/op/view.aspx?src=http%3A%2F%2Fwww.pngeiti.org.pg%2Fwp-content%2Fuploads%2F2020%2F12%2FEITI-PNG-BO-Register-last-update-20.12.2020.xlsx&amp;wdOrigin=BROWSELINK" xr:uid="{8D939C04-10CC-4B11-BBC1-EA0A04CE7599}"/>
    <hyperlink ref="F14" r:id="rId6" xr:uid="{E26203BC-15B6-4F46-AFAA-B3C644835A08}"/>
    <hyperlink ref="F13" r:id="rId7" xr:uid="{1C284C32-2C75-4F5B-AF56-4EEF2451E24E}"/>
    <hyperlink ref="F16" r:id="rId8" display="https://view.officeapps.live.com/op/view.aspx?src=http%3A%2F%2Fwww.pngeiti.org.pg%2Fwp-content%2Fuploads%2F2020%2F12%2FEITI-PNG-BO-Register-last-update-20.12.2020.xlsx&amp;wdOrigin=BROWSELINK" xr:uid="{1242DA6B-F091-4DA1-BAD7-5FCE92291320}"/>
    <hyperlink ref="F17" r:id="rId9" display="https://view.officeapps.live.com/op/view.aspx?src=http%3A%2F%2Fwww.pngeiti.org.pg%2Fwp-content%2Fuploads%2F2020%2F12%2FEITI-PNG-BO-Register-last-update-20.12.2020.xlsx&amp;wdOrigin=BROWSELINK" xr:uid="{46DD146E-ED49-40A0-9C0A-E2E553304632}"/>
    <hyperlink ref="F18" r:id="rId10" display="https://view.officeapps.live.com/op/view.aspx?src=http%3A%2F%2Fwww.pngeiti.org.pg%2Fwp-content%2Fuploads%2F2020%2F12%2FEITI-PNG-BO-Register-last-update-20.12.2020.xlsx&amp;wdOrigin=BROWSELINK" xr:uid="{2421A53B-93DC-4E7B-9B33-643E486F602F}"/>
  </hyperlinks>
  <pageMargins left="0.7" right="0.7" top="0.75" bottom="0.75" header="0.3" footer="0.3"/>
  <pageSetup paperSize="8" orientation="landscape" horizontalDpi="1200" verticalDpi="1200" r:id="rId11"/>
</worksheet>
</file>

<file path=xl/worksheets/sheet8.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E8D-9B8E-814D-8F26-01732F729F03}">
  <sheetPr codeName="Sheet8"/>
  <dimension ref="A1:S25"/>
  <sheetViews>
    <sheetView tabSelected="1" topLeftCell="G9" zoomScale="72" zoomScaleNormal="100" zoomScalePageLayoutView="50" workbookViewId="0">
      <selection activeCell="P10" sqref="P10"/>
    </sheetView>
  </sheetViews>
  <sheetFormatPr defaultColWidth="10.5" defaultRowHeight="13.8" x14ac:dyDescent="0.3"/>
  <cols>
    <col min="1" max="1" width="15" style="220" customWidth="1"/>
    <col min="2" max="2" width="65.3984375" style="220" customWidth="1"/>
    <col min="3" max="3" width="3.3984375" style="220" customWidth="1"/>
    <col min="4" max="4" width="38.5" style="220" customWidth="1"/>
    <col min="5" max="5" width="3.3984375" style="220" customWidth="1"/>
    <col min="6" max="6" width="72.09765625" style="220" customWidth="1"/>
    <col min="7" max="7" width="3.3984375" style="220" customWidth="1"/>
    <col min="8" max="8" width="63" style="220" customWidth="1"/>
    <col min="9" max="9" width="3.3984375" style="220" customWidth="1"/>
    <col min="10" max="10" width="51" style="220" customWidth="1"/>
    <col min="11" max="11" width="3.3984375" style="220" customWidth="1"/>
    <col min="12" max="12" width="45.19921875" style="220" customWidth="1"/>
    <col min="13" max="13" width="3.3984375" style="220" customWidth="1"/>
    <col min="14" max="14" width="39.5" style="220" customWidth="1"/>
    <col min="15" max="15" width="3.3984375" style="220" customWidth="1"/>
    <col min="16" max="16" width="39.5" style="455" customWidth="1"/>
    <col min="17" max="17" width="3.3984375" style="220" customWidth="1"/>
    <col min="18" max="18" width="39.5" style="220" customWidth="1"/>
    <col min="19" max="19" width="3.3984375" style="220" customWidth="1"/>
    <col min="20" max="16384" width="10.5" style="220"/>
  </cols>
  <sheetData>
    <row r="1" spans="1:19" x14ac:dyDescent="0.3">
      <c r="A1" s="359" t="s">
        <v>344</v>
      </c>
    </row>
    <row r="3" spans="1:19" s="223" customFormat="1" ht="96.6" x14ac:dyDescent="0.3">
      <c r="A3" s="221" t="s">
        <v>345</v>
      </c>
      <c r="B3" s="222" t="s">
        <v>346</v>
      </c>
      <c r="D3" s="224" t="s">
        <v>106</v>
      </c>
      <c r="F3" s="225"/>
      <c r="H3" s="225"/>
      <c r="J3" s="226"/>
      <c r="L3" s="227"/>
      <c r="N3" s="227"/>
      <c r="P3" s="399"/>
      <c r="R3" s="227"/>
    </row>
    <row r="4" spans="1:19" s="238" customFormat="1" x14ac:dyDescent="0.3">
      <c r="A4" s="332"/>
      <c r="B4" s="237"/>
      <c r="D4" s="237"/>
      <c r="F4" s="237"/>
      <c r="H4" s="237"/>
      <c r="J4" s="239"/>
      <c r="L4" s="239"/>
      <c r="N4" s="239"/>
      <c r="P4" s="456"/>
      <c r="R4" s="239"/>
    </row>
    <row r="5" spans="1:19" s="232" customFormat="1" ht="41.4" x14ac:dyDescent="0.3">
      <c r="A5" s="333"/>
      <c r="B5" s="334" t="s">
        <v>107</v>
      </c>
      <c r="D5" s="233" t="s">
        <v>108</v>
      </c>
      <c r="E5" s="234"/>
      <c r="F5" s="233" t="s">
        <v>109</v>
      </c>
      <c r="G5" s="234"/>
      <c r="H5" s="233" t="s">
        <v>110</v>
      </c>
      <c r="J5" s="235" t="s">
        <v>111</v>
      </c>
      <c r="K5" s="234"/>
      <c r="L5" s="235" t="s">
        <v>112</v>
      </c>
      <c r="M5" s="234"/>
      <c r="N5" s="235" t="s">
        <v>113</v>
      </c>
      <c r="O5" s="234"/>
      <c r="P5" s="235" t="s">
        <v>114</v>
      </c>
      <c r="Q5" s="234"/>
      <c r="R5" s="235" t="s">
        <v>115</v>
      </c>
      <c r="S5" s="234"/>
    </row>
    <row r="6" spans="1:19" s="238" customFormat="1" x14ac:dyDescent="0.3">
      <c r="A6" s="332"/>
      <c r="B6" s="237"/>
      <c r="D6" s="237"/>
      <c r="F6" s="237"/>
      <c r="H6" s="237"/>
      <c r="J6" s="239"/>
      <c r="L6" s="239"/>
      <c r="N6" s="239"/>
      <c r="P6" s="456"/>
      <c r="R6" s="239"/>
    </row>
    <row r="7" spans="1:19" s="223" customFormat="1" ht="27.6" x14ac:dyDescent="0.3">
      <c r="A7" s="221" t="s">
        <v>164</v>
      </c>
      <c r="B7" s="222" t="s">
        <v>347</v>
      </c>
      <c r="D7" s="224" t="s">
        <v>58</v>
      </c>
      <c r="F7" s="225"/>
      <c r="H7" s="225"/>
      <c r="J7" s="226"/>
    </row>
    <row r="8" spans="1:19" s="238" customFormat="1" x14ac:dyDescent="0.3">
      <c r="A8" s="236"/>
      <c r="B8" s="237"/>
      <c r="D8" s="237"/>
      <c r="F8" s="237"/>
      <c r="H8" s="237"/>
      <c r="J8" s="239"/>
      <c r="P8" s="223"/>
    </row>
    <row r="9" spans="1:19" s="229" customFormat="1" ht="179.4" x14ac:dyDescent="0.3">
      <c r="A9" s="221" t="s">
        <v>348</v>
      </c>
      <c r="B9" s="241" t="s">
        <v>349</v>
      </c>
      <c r="D9" s="224" t="s">
        <v>350</v>
      </c>
      <c r="F9" s="243"/>
      <c r="G9" s="242"/>
      <c r="H9" s="245" t="s">
        <v>351</v>
      </c>
      <c r="I9" s="242"/>
      <c r="J9" s="522" t="s">
        <v>352</v>
      </c>
      <c r="K9" s="242"/>
      <c r="L9" s="400" t="s">
        <v>353</v>
      </c>
      <c r="M9" s="238"/>
      <c r="N9" s="227"/>
      <c r="O9" s="238"/>
      <c r="P9" s="399"/>
      <c r="Q9" s="238"/>
      <c r="R9" s="227"/>
      <c r="S9" s="242"/>
    </row>
    <row r="10" spans="1:19" s="229" customFormat="1" ht="110.4" x14ac:dyDescent="0.3">
      <c r="A10" s="491" t="s">
        <v>354</v>
      </c>
      <c r="B10" s="360" t="s">
        <v>355</v>
      </c>
      <c r="D10" s="224" t="s">
        <v>350</v>
      </c>
      <c r="F10" s="243"/>
      <c r="G10" s="242"/>
      <c r="H10" s="245" t="s">
        <v>356</v>
      </c>
      <c r="I10" s="242"/>
      <c r="J10" s="523"/>
      <c r="K10" s="238"/>
      <c r="L10" s="399" t="s">
        <v>357</v>
      </c>
      <c r="M10" s="238"/>
      <c r="N10" s="400" t="s">
        <v>358</v>
      </c>
      <c r="O10" s="238"/>
      <c r="P10" s="399" t="s">
        <v>1262</v>
      </c>
      <c r="Q10" s="238"/>
      <c r="R10" s="227"/>
      <c r="S10" s="238"/>
    </row>
    <row r="11" spans="1:19" s="229" customFormat="1" ht="51" customHeight="1" x14ac:dyDescent="0.3">
      <c r="A11" s="512"/>
      <c r="B11" s="361" t="s">
        <v>359</v>
      </c>
      <c r="D11" s="224" t="s">
        <v>350</v>
      </c>
      <c r="F11" s="243"/>
      <c r="G11" s="242"/>
      <c r="H11" s="245" t="s">
        <v>356</v>
      </c>
      <c r="I11" s="242"/>
      <c r="J11" s="523"/>
      <c r="K11" s="223"/>
      <c r="L11" s="227" t="s">
        <v>194</v>
      </c>
      <c r="M11" s="223"/>
      <c r="N11" s="227" t="s">
        <v>360</v>
      </c>
      <c r="O11" s="223"/>
      <c r="P11" s="399" t="s">
        <v>1262</v>
      </c>
      <c r="Q11" s="223"/>
      <c r="R11" s="227"/>
      <c r="S11" s="223"/>
    </row>
    <row r="12" spans="1:19" s="229" customFormat="1" ht="51" customHeight="1" x14ac:dyDescent="0.3">
      <c r="A12" s="512"/>
      <c r="B12" s="361" t="s">
        <v>361</v>
      </c>
      <c r="D12" s="224" t="s">
        <v>350</v>
      </c>
      <c r="F12" s="243"/>
      <c r="G12" s="242"/>
      <c r="H12" s="245" t="s">
        <v>356</v>
      </c>
      <c r="I12" s="242"/>
      <c r="J12" s="523"/>
      <c r="K12" s="238"/>
      <c r="L12" s="227" t="s">
        <v>194</v>
      </c>
      <c r="M12" s="238"/>
      <c r="N12" s="227" t="s">
        <v>360</v>
      </c>
      <c r="O12" s="238"/>
      <c r="P12" s="399" t="s">
        <v>1262</v>
      </c>
      <c r="Q12" s="238"/>
      <c r="R12" s="227"/>
      <c r="S12" s="238"/>
    </row>
    <row r="13" spans="1:19" s="229" customFormat="1" ht="51" customHeight="1" x14ac:dyDescent="0.3">
      <c r="A13" s="512"/>
      <c r="B13" s="361" t="s">
        <v>362</v>
      </c>
      <c r="D13" s="224" t="s">
        <v>350</v>
      </c>
      <c r="F13" s="243"/>
      <c r="G13" s="242"/>
      <c r="H13" s="245" t="s">
        <v>356</v>
      </c>
      <c r="I13" s="242"/>
      <c r="J13" s="523"/>
      <c r="K13" s="242"/>
      <c r="L13" s="227" t="s">
        <v>194</v>
      </c>
      <c r="M13" s="242"/>
      <c r="N13" s="227" t="s">
        <v>360</v>
      </c>
      <c r="O13" s="242"/>
      <c r="P13" s="399" t="s">
        <v>1262</v>
      </c>
      <c r="Q13" s="242"/>
      <c r="R13" s="227"/>
      <c r="S13" s="242"/>
    </row>
    <row r="14" spans="1:19" s="229" customFormat="1" ht="51" customHeight="1" x14ac:dyDescent="0.3">
      <c r="A14" s="512"/>
      <c r="B14" s="361" t="s">
        <v>363</v>
      </c>
      <c r="D14" s="224" t="s">
        <v>350</v>
      </c>
      <c r="F14" s="243"/>
      <c r="G14" s="242"/>
      <c r="H14" s="245" t="s">
        <v>356</v>
      </c>
      <c r="I14" s="242"/>
      <c r="J14" s="523"/>
      <c r="K14" s="242"/>
      <c r="L14" s="227" t="s">
        <v>194</v>
      </c>
      <c r="M14" s="242"/>
      <c r="N14" s="227" t="s">
        <v>360</v>
      </c>
      <c r="O14" s="242"/>
      <c r="P14" s="399" t="s">
        <v>1262</v>
      </c>
      <c r="Q14" s="242"/>
      <c r="R14" s="227"/>
      <c r="S14" s="242"/>
    </row>
    <row r="15" spans="1:19" s="229" customFormat="1" ht="51" customHeight="1" x14ac:dyDescent="0.3">
      <c r="A15" s="512"/>
      <c r="B15" s="361" t="s">
        <v>364</v>
      </c>
      <c r="D15" s="224" t="s">
        <v>350</v>
      </c>
      <c r="F15" s="243"/>
      <c r="G15" s="242"/>
      <c r="H15" s="245" t="s">
        <v>356</v>
      </c>
      <c r="I15" s="242"/>
      <c r="J15" s="523"/>
      <c r="K15" s="242"/>
      <c r="L15" s="227" t="s">
        <v>194</v>
      </c>
      <c r="M15" s="242"/>
      <c r="N15" s="227" t="s">
        <v>360</v>
      </c>
      <c r="O15" s="242"/>
      <c r="P15" s="399" t="s">
        <v>1262</v>
      </c>
      <c r="Q15" s="242"/>
      <c r="R15" s="227"/>
      <c r="S15" s="242"/>
    </row>
    <row r="16" spans="1:19" s="229" customFormat="1" ht="44.4" customHeight="1" x14ac:dyDescent="0.3">
      <c r="A16" s="491" t="s">
        <v>365</v>
      </c>
      <c r="B16" s="241" t="s">
        <v>366</v>
      </c>
      <c r="D16" s="224" t="s">
        <v>350</v>
      </c>
      <c r="F16" s="243"/>
      <c r="G16" s="246"/>
      <c r="H16" s="245" t="s">
        <v>367</v>
      </c>
      <c r="I16" s="246"/>
      <c r="J16" s="523"/>
      <c r="K16" s="246"/>
      <c r="L16" s="399"/>
      <c r="M16" s="246"/>
      <c r="N16" s="400"/>
      <c r="O16" s="246"/>
      <c r="P16" s="399"/>
      <c r="Q16" s="246"/>
      <c r="R16" s="227"/>
      <c r="S16" s="246"/>
    </row>
    <row r="17" spans="1:19" s="229" customFormat="1" ht="50.1" customHeight="1" x14ac:dyDescent="0.3">
      <c r="A17" s="512"/>
      <c r="B17" s="241" t="s">
        <v>368</v>
      </c>
      <c r="D17" s="224" t="s">
        <v>369</v>
      </c>
      <c r="F17" s="341" t="s">
        <v>370</v>
      </c>
      <c r="G17" s="246"/>
      <c r="H17" s="245" t="s">
        <v>371</v>
      </c>
      <c r="I17" s="246"/>
      <c r="J17" s="523"/>
      <c r="K17" s="246"/>
      <c r="L17" s="399"/>
      <c r="M17" s="246"/>
      <c r="N17" s="227"/>
      <c r="O17" s="246"/>
      <c r="P17" s="399"/>
      <c r="Q17" s="246"/>
      <c r="R17" s="227"/>
      <c r="S17" s="246"/>
    </row>
    <row r="18" spans="1:19" s="229" customFormat="1" ht="308.39999999999998" customHeight="1" x14ac:dyDescent="0.3">
      <c r="A18" s="491" t="s">
        <v>372</v>
      </c>
      <c r="B18" s="361" t="s">
        <v>373</v>
      </c>
      <c r="D18" s="224" t="s">
        <v>350</v>
      </c>
      <c r="F18" s="243"/>
      <c r="G18" s="246"/>
      <c r="H18" s="245" t="s">
        <v>374</v>
      </c>
      <c r="I18" s="246"/>
      <c r="J18" s="523"/>
      <c r="K18" s="246"/>
      <c r="L18" s="399" t="s">
        <v>375</v>
      </c>
      <c r="M18" s="246"/>
      <c r="N18" s="400" t="s">
        <v>376</v>
      </c>
      <c r="O18" s="246"/>
      <c r="P18" s="399" t="s">
        <v>1236</v>
      </c>
      <c r="Q18" s="246"/>
      <c r="R18" s="227"/>
      <c r="S18" s="246"/>
    </row>
    <row r="19" spans="1:19" s="229" customFormat="1" ht="51" customHeight="1" x14ac:dyDescent="0.3">
      <c r="A19" s="512"/>
      <c r="B19" s="361" t="s">
        <v>377</v>
      </c>
      <c r="D19" s="224" t="s">
        <v>82</v>
      </c>
      <c r="F19" s="362"/>
      <c r="G19" s="246"/>
      <c r="H19" s="245" t="s">
        <v>374</v>
      </c>
      <c r="I19" s="246"/>
      <c r="J19" s="523"/>
      <c r="K19" s="246"/>
      <c r="L19" s="227" t="s">
        <v>330</v>
      </c>
      <c r="M19" s="246"/>
      <c r="N19" s="227" t="s">
        <v>378</v>
      </c>
      <c r="O19" s="246"/>
      <c r="P19" s="399" t="s">
        <v>1237</v>
      </c>
      <c r="Q19" s="246"/>
      <c r="R19" s="227"/>
      <c r="S19" s="246"/>
    </row>
    <row r="20" spans="1:19" s="229" customFormat="1" ht="51" customHeight="1" x14ac:dyDescent="0.3">
      <c r="A20" s="512"/>
      <c r="B20" s="361" t="s">
        <v>379</v>
      </c>
      <c r="D20" s="224" t="s">
        <v>350</v>
      </c>
      <c r="F20" s="243"/>
      <c r="G20" s="246"/>
      <c r="H20" s="245" t="s">
        <v>380</v>
      </c>
      <c r="I20" s="246"/>
      <c r="J20" s="523"/>
      <c r="K20" s="246"/>
      <c r="L20" s="399" t="s">
        <v>381</v>
      </c>
      <c r="M20" s="246"/>
      <c r="N20" s="227"/>
      <c r="O20" s="246"/>
      <c r="P20" s="399"/>
      <c r="Q20" s="246"/>
      <c r="R20" s="227"/>
      <c r="S20" s="246"/>
    </row>
    <row r="21" spans="1:19" s="229" customFormat="1" ht="51" customHeight="1" x14ac:dyDescent="0.3">
      <c r="A21" s="512"/>
      <c r="B21" s="361" t="s">
        <v>382</v>
      </c>
      <c r="D21" s="224" t="s">
        <v>82</v>
      </c>
      <c r="F21" s="362"/>
      <c r="G21" s="246"/>
      <c r="H21" s="245" t="s">
        <v>383</v>
      </c>
      <c r="I21" s="246"/>
      <c r="J21" s="523"/>
      <c r="K21" s="246"/>
      <c r="L21" s="227" t="s">
        <v>330</v>
      </c>
      <c r="M21" s="246"/>
      <c r="N21" s="227" t="s">
        <v>384</v>
      </c>
      <c r="O21" s="246"/>
      <c r="P21" s="399" t="s">
        <v>1237</v>
      </c>
      <c r="Q21" s="246"/>
      <c r="R21" s="227"/>
      <c r="S21" s="246"/>
    </row>
    <row r="22" spans="1:19" s="229" customFormat="1" ht="51" customHeight="1" x14ac:dyDescent="0.3">
      <c r="A22" s="491" t="s">
        <v>385</v>
      </c>
      <c r="B22" s="361" t="s">
        <v>386</v>
      </c>
      <c r="D22" s="224" t="s">
        <v>350</v>
      </c>
      <c r="F22" s="243"/>
      <c r="G22" s="246"/>
      <c r="H22" s="245" t="s">
        <v>387</v>
      </c>
      <c r="I22" s="246"/>
      <c r="J22" s="523"/>
      <c r="K22" s="246"/>
      <c r="L22" s="399" t="s">
        <v>388</v>
      </c>
      <c r="M22" s="246"/>
      <c r="N22" s="399" t="s">
        <v>389</v>
      </c>
      <c r="O22" s="246"/>
      <c r="P22" s="399" t="s">
        <v>1238</v>
      </c>
      <c r="Q22" s="246"/>
      <c r="R22" s="227"/>
      <c r="S22" s="246"/>
    </row>
    <row r="23" spans="1:19" s="229" customFormat="1" ht="409.6" x14ac:dyDescent="0.3">
      <c r="A23" s="512"/>
      <c r="B23" s="361" t="s">
        <v>390</v>
      </c>
      <c r="D23" s="224" t="s">
        <v>350</v>
      </c>
      <c r="F23" s="243"/>
      <c r="G23" s="246"/>
      <c r="H23" s="245" t="s">
        <v>391</v>
      </c>
      <c r="I23" s="246"/>
      <c r="J23" s="523"/>
      <c r="K23" s="246"/>
      <c r="L23" s="400" t="s">
        <v>392</v>
      </c>
      <c r="M23" s="246"/>
      <c r="N23" s="227"/>
      <c r="O23" s="246"/>
      <c r="P23" s="399"/>
      <c r="Q23" s="246"/>
      <c r="R23" s="227"/>
      <c r="S23" s="246"/>
    </row>
    <row r="24" spans="1:19" s="229" customFormat="1" ht="138" x14ac:dyDescent="0.3">
      <c r="A24" s="221" t="s">
        <v>393</v>
      </c>
      <c r="B24" s="361" t="s">
        <v>394</v>
      </c>
      <c r="D24" s="224" t="s">
        <v>309</v>
      </c>
      <c r="F24" s="341" t="s">
        <v>395</v>
      </c>
      <c r="G24" s="246"/>
      <c r="H24" s="245"/>
      <c r="I24" s="246"/>
      <c r="J24" s="524"/>
      <c r="K24" s="246"/>
      <c r="L24" s="400" t="s">
        <v>396</v>
      </c>
      <c r="M24" s="246"/>
      <c r="N24" s="400" t="s">
        <v>397</v>
      </c>
      <c r="O24" s="246"/>
      <c r="P24" s="400" t="s">
        <v>1187</v>
      </c>
      <c r="Q24" s="246"/>
      <c r="R24" s="227"/>
      <c r="S24" s="246"/>
    </row>
    <row r="25" spans="1:19" s="249" customFormat="1" x14ac:dyDescent="0.3">
      <c r="A25" s="336"/>
      <c r="P25" s="458"/>
    </row>
  </sheetData>
  <mergeCells count="5">
    <mergeCell ref="A10:A15"/>
    <mergeCell ref="A16:A17"/>
    <mergeCell ref="A18:A21"/>
    <mergeCell ref="A22:A23"/>
    <mergeCell ref="J9:J24"/>
  </mergeCells>
  <hyperlinks>
    <hyperlink ref="F24" r:id="rId1" xr:uid="{1E632BD0-027D-4C20-9675-D7905496EDEA}"/>
    <hyperlink ref="F17" r:id="rId2" xr:uid="{B169E853-3645-40BF-8C95-CF750CF22350}"/>
  </hyperlinks>
  <pageMargins left="0.7" right="0.7" top="0.75" bottom="0.75" header="0.3" footer="0.3"/>
  <pageSetup paperSize="8" orientation="landscape" horizontalDpi="1200" verticalDpi="1200" r:id="rId3"/>
  <drawing r:id="rId4"/>
  <mc:AlternateContent xmlns:mc="http://schemas.openxmlformats.org/markup-compatibility/2006">
    <mc:Choice Requires="v">
      <legacyDrawing r:id="rId5"/>
    </mc:Choice>
  </mc:AlternateContent>
</worksheet>
</file>

<file path=xl/worksheets/sheet9.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FB5E1-377A-0E42-908B-D02E3C9B4F9B}">
  <sheetPr codeName="Sheet9"/>
  <dimension ref="A1:S9"/>
  <sheetViews>
    <sheetView topLeftCell="A10" zoomScale="80" zoomScaleNormal="80" zoomScalePageLayoutView="60" workbookViewId="0">
      <selection activeCell="A9" sqref="A9"/>
    </sheetView>
  </sheetViews>
  <sheetFormatPr defaultColWidth="10.5" defaultRowHeight="16.2" x14ac:dyDescent="0.35"/>
  <cols>
    <col min="1" max="1" width="18.3984375" style="166" customWidth="1"/>
    <col min="2" max="2" width="37.5" style="166" customWidth="1"/>
    <col min="3" max="3" width="3" style="166" customWidth="1"/>
    <col min="4" max="4" width="39" style="166" customWidth="1"/>
    <col min="5" max="5" width="3" style="166" customWidth="1"/>
    <col min="6" max="6" width="59.8984375" style="166" customWidth="1"/>
    <col min="7" max="7" width="3" style="166" customWidth="1"/>
    <col min="8" max="8" width="59"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398</v>
      </c>
    </row>
    <row r="3" spans="1:19" s="31" customFormat="1" ht="90" x14ac:dyDescent="0.3">
      <c r="A3" s="32" t="s">
        <v>399</v>
      </c>
      <c r="B3" s="33" t="s">
        <v>400</v>
      </c>
      <c r="C3" s="34"/>
      <c r="D3" s="10" t="s">
        <v>106</v>
      </c>
      <c r="E3" s="34"/>
      <c r="F3" s="35"/>
      <c r="G3" s="34"/>
      <c r="H3" s="35"/>
      <c r="I3" s="34"/>
      <c r="J3" s="6"/>
      <c r="L3" s="37"/>
      <c r="N3" s="37"/>
      <c r="P3" s="37"/>
      <c r="R3" s="37"/>
    </row>
    <row r="4" spans="1:19" s="1" customFormat="1" ht="18.600000000000001" x14ac:dyDescent="0.3">
      <c r="B4" s="2"/>
      <c r="D4" s="2"/>
      <c r="F4" s="2"/>
      <c r="H4" s="2"/>
      <c r="J4" s="3"/>
      <c r="L4" s="3"/>
      <c r="N4" s="3"/>
      <c r="P4" s="3"/>
      <c r="R4" s="3"/>
    </row>
    <row r="5" spans="1:19" s="1" customFormat="1" ht="74.400000000000006" x14ac:dyDescent="0.3">
      <c r="B5" s="2" t="s">
        <v>107</v>
      </c>
      <c r="D5" s="81" t="s">
        <v>108</v>
      </c>
      <c r="E5" s="45"/>
      <c r="F5" s="81" t="s">
        <v>109</v>
      </c>
      <c r="G5" s="45"/>
      <c r="H5" s="81" t="s">
        <v>110</v>
      </c>
      <c r="I5" s="53"/>
      <c r="J5" s="46" t="s">
        <v>111</v>
      </c>
      <c r="K5" s="29"/>
      <c r="L5" s="30" t="s">
        <v>112</v>
      </c>
      <c r="M5" s="29"/>
      <c r="N5" s="30" t="s">
        <v>113</v>
      </c>
      <c r="O5" s="29"/>
      <c r="P5" s="30" t="s">
        <v>114</v>
      </c>
      <c r="Q5" s="29"/>
      <c r="R5" s="30" t="s">
        <v>115</v>
      </c>
      <c r="S5" s="29"/>
    </row>
    <row r="6" spans="1:19" s="1" customFormat="1" ht="18.600000000000001" x14ac:dyDescent="0.3">
      <c r="B6" s="2"/>
      <c r="D6" s="2"/>
      <c r="F6" s="2"/>
      <c r="H6" s="2"/>
      <c r="J6" s="3"/>
      <c r="L6" s="3"/>
      <c r="N6" s="3"/>
      <c r="P6" s="3"/>
      <c r="R6" s="3"/>
    </row>
    <row r="7" spans="1:19" s="4" customFormat="1" ht="68.400000000000006" customHeight="1" x14ac:dyDescent="0.3">
      <c r="A7" s="13"/>
      <c r="B7" s="177" t="s">
        <v>401</v>
      </c>
      <c r="C7" s="7"/>
      <c r="D7" s="8" t="s">
        <v>402</v>
      </c>
      <c r="E7" s="7"/>
      <c r="F7" s="341" t="s">
        <v>403</v>
      </c>
      <c r="G7" s="19"/>
      <c r="H7" s="344" t="s">
        <v>1239</v>
      </c>
      <c r="I7" s="19"/>
      <c r="J7" s="525"/>
      <c r="K7" s="20"/>
      <c r="L7" s="411" t="s">
        <v>404</v>
      </c>
      <c r="M7" s="20"/>
      <c r="N7" s="37"/>
      <c r="O7" s="20"/>
      <c r="P7" s="37" t="s">
        <v>1233</v>
      </c>
      <c r="Q7" s="20"/>
      <c r="R7" s="37"/>
      <c r="S7" s="20"/>
    </row>
    <row r="8" spans="1:19" s="4" customFormat="1" ht="59.25" customHeight="1" x14ac:dyDescent="0.3">
      <c r="A8" s="14"/>
      <c r="B8" s="343" t="s">
        <v>405</v>
      </c>
      <c r="C8" s="9"/>
      <c r="D8" s="344" t="s">
        <v>126</v>
      </c>
      <c r="E8" s="9"/>
      <c r="F8" s="345"/>
      <c r="G8" s="346"/>
      <c r="H8" s="344" t="s">
        <v>1240</v>
      </c>
      <c r="I8" s="346"/>
      <c r="J8" s="526"/>
      <c r="K8" s="1"/>
      <c r="L8" s="412" t="s">
        <v>406</v>
      </c>
      <c r="M8" s="1"/>
      <c r="N8" s="37"/>
      <c r="O8" s="1"/>
      <c r="P8" s="37" t="s">
        <v>1233</v>
      </c>
      <c r="Q8" s="1"/>
      <c r="R8" s="37"/>
      <c r="S8" s="1"/>
    </row>
    <row r="9" spans="1:19" s="4" customFormat="1" ht="409.6" x14ac:dyDescent="0.3">
      <c r="A9" s="15"/>
      <c r="B9" s="178" t="s">
        <v>407</v>
      </c>
      <c r="C9" s="11"/>
      <c r="D9" s="8" t="s">
        <v>402</v>
      </c>
      <c r="E9" s="11"/>
      <c r="F9" s="341" t="s">
        <v>395</v>
      </c>
      <c r="G9" s="21"/>
      <c r="H9" s="344" t="s">
        <v>408</v>
      </c>
      <c r="I9" s="21"/>
      <c r="J9" s="527"/>
      <c r="K9" s="31"/>
      <c r="L9" s="412" t="s">
        <v>409</v>
      </c>
      <c r="M9" s="31"/>
      <c r="N9" s="37"/>
      <c r="O9" s="31"/>
      <c r="P9" s="411" t="s">
        <v>1241</v>
      </c>
      <c r="Q9" s="31"/>
      <c r="R9" s="37"/>
      <c r="S9" s="31"/>
    </row>
  </sheetData>
  <mergeCells count="1">
    <mergeCell ref="J7:J9"/>
  </mergeCells>
  <hyperlinks>
    <hyperlink ref="F7" r:id="rId1" xr:uid="{904A7F23-D74D-44CA-921A-F3FC35060487}"/>
    <hyperlink ref="F9" r:id="rId2" xr:uid="{E5B7B31C-7766-4B75-B639-406F0DE23E83}"/>
  </hyperlinks>
  <pageMargins left="0.7" right="0.7" top="0.75" bottom="0.75" header="0.3" footer="0.3"/>
  <pageSetup paperSize="8" orientation="landscape" horizontalDpi="1200" verticalDpi="1200" r:id="rId3"/>
</worksheet>
</file>

<file path=xl/worksheets/sheet10.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30E32-320E-A140-A901-ACCC19353D89}">
  <sheetPr codeName="Sheet10"/>
  <dimension ref="A1:S27"/>
  <sheetViews>
    <sheetView topLeftCell="G5" zoomScale="60" zoomScaleNormal="60" workbookViewId="0">
      <selection activeCell="P10" sqref="P10"/>
    </sheetView>
  </sheetViews>
  <sheetFormatPr defaultColWidth="10.5" defaultRowHeight="16.2" x14ac:dyDescent="0.35"/>
  <cols>
    <col min="1" max="1" width="15.8984375" style="166" customWidth="1"/>
    <col min="2" max="2" width="29.8984375" style="166" customWidth="1"/>
    <col min="3" max="3" width="3" style="166" customWidth="1"/>
    <col min="4" max="4" width="38.5" style="166" customWidth="1"/>
    <col min="5" max="5" width="3" style="166" customWidth="1"/>
    <col min="6" max="6" width="59.8984375" style="166" customWidth="1"/>
    <col min="7" max="7" width="3" style="166" customWidth="1"/>
    <col min="8" max="8" width="67.69921875"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410</v>
      </c>
    </row>
    <row r="3" spans="1:19" s="31" customFormat="1" ht="150" x14ac:dyDescent="0.3">
      <c r="A3" s="32" t="s">
        <v>411</v>
      </c>
      <c r="B3" s="33" t="s">
        <v>412</v>
      </c>
      <c r="C3" s="34"/>
      <c r="D3" s="10" t="s">
        <v>106</v>
      </c>
      <c r="E3" s="34"/>
      <c r="F3" s="35"/>
      <c r="G3" s="34"/>
      <c r="H3" s="35"/>
      <c r="I3" s="34"/>
      <c r="J3" s="6"/>
      <c r="L3" s="37"/>
      <c r="N3" s="37"/>
      <c r="P3" s="37"/>
      <c r="R3" s="37"/>
    </row>
    <row r="4" spans="1:19" s="1" customFormat="1" ht="18.600000000000001" x14ac:dyDescent="0.3">
      <c r="B4" s="2"/>
      <c r="D4" s="2"/>
      <c r="F4" s="2"/>
      <c r="H4" s="2"/>
      <c r="J4" s="3"/>
      <c r="L4" s="3"/>
    </row>
    <row r="5" spans="1:19" s="1" customFormat="1" ht="74.400000000000006" x14ac:dyDescent="0.3">
      <c r="B5" s="2" t="s">
        <v>107</v>
      </c>
      <c r="D5" s="81" t="s">
        <v>108</v>
      </c>
      <c r="E5" s="45"/>
      <c r="F5" s="81" t="s">
        <v>109</v>
      </c>
      <c r="G5" s="45"/>
      <c r="H5" s="81" t="s">
        <v>110</v>
      </c>
      <c r="I5" s="53"/>
      <c r="J5" s="46" t="s">
        <v>111</v>
      </c>
      <c r="K5" s="29"/>
      <c r="L5" s="30" t="s">
        <v>112</v>
      </c>
      <c r="M5" s="29"/>
      <c r="N5" s="30" t="s">
        <v>113</v>
      </c>
      <c r="O5" s="29"/>
      <c r="P5" s="30" t="s">
        <v>114</v>
      </c>
      <c r="Q5" s="29"/>
      <c r="R5" s="30" t="s">
        <v>115</v>
      </c>
      <c r="S5" s="29"/>
    </row>
    <row r="6" spans="1:19" s="1" customFormat="1" ht="18.600000000000001" x14ac:dyDescent="0.3">
      <c r="B6" s="2"/>
      <c r="D6" s="2"/>
      <c r="F6" s="2"/>
      <c r="H6" s="2"/>
      <c r="J6" s="3"/>
      <c r="L6" s="3"/>
      <c r="N6" s="3"/>
      <c r="P6" s="3"/>
      <c r="R6" s="3"/>
    </row>
    <row r="7" spans="1:19" s="31" customFormat="1" ht="30" x14ac:dyDescent="0.3">
      <c r="A7" s="42" t="s">
        <v>164</v>
      </c>
      <c r="B7" s="201" t="s">
        <v>413</v>
      </c>
      <c r="D7" s="5" t="s">
        <v>58</v>
      </c>
      <c r="F7" s="43"/>
      <c r="H7" s="43"/>
      <c r="J7" s="44"/>
    </row>
    <row r="8" spans="1:19" s="1" customFormat="1" ht="18.600000000000001" x14ac:dyDescent="0.3">
      <c r="B8" s="2"/>
      <c r="D8" s="2"/>
      <c r="F8" s="2"/>
      <c r="H8" s="2"/>
      <c r="J8" s="3"/>
      <c r="L8" s="3"/>
      <c r="N8" s="3"/>
      <c r="P8" s="3"/>
      <c r="R8" s="3"/>
    </row>
    <row r="9" spans="1:19" s="4" customFormat="1" ht="53.25" customHeight="1" x14ac:dyDescent="0.3">
      <c r="A9" s="13"/>
      <c r="B9" s="27" t="s">
        <v>414</v>
      </c>
      <c r="C9" s="7"/>
      <c r="D9" s="17"/>
      <c r="E9" s="7"/>
      <c r="F9" s="17"/>
      <c r="G9" s="19"/>
      <c r="H9" s="17"/>
      <c r="I9" s="19"/>
      <c r="J9" s="36"/>
      <c r="K9" s="20"/>
      <c r="L9" s="36"/>
      <c r="M9" s="20"/>
      <c r="N9" s="36"/>
      <c r="O9" s="20"/>
      <c r="P9" s="36"/>
      <c r="Q9" s="20"/>
      <c r="R9" s="36"/>
      <c r="S9" s="20"/>
    </row>
    <row r="10" spans="1:19" s="4" customFormat="1" ht="246.6" customHeight="1" x14ac:dyDescent="0.3">
      <c r="A10" s="14"/>
      <c r="B10" s="23" t="s">
        <v>415</v>
      </c>
      <c r="C10" s="9"/>
      <c r="D10" s="10" t="s">
        <v>350</v>
      </c>
      <c r="E10" s="9"/>
      <c r="F10" s="341" t="s">
        <v>416</v>
      </c>
      <c r="G10" s="21"/>
      <c r="H10" s="84" t="s">
        <v>417</v>
      </c>
      <c r="I10" s="21"/>
      <c r="J10" s="528"/>
      <c r="K10" s="1"/>
      <c r="L10" s="411" t="s">
        <v>418</v>
      </c>
      <c r="M10" s="1"/>
      <c r="N10" s="411" t="s">
        <v>419</v>
      </c>
      <c r="O10" s="1"/>
      <c r="P10" s="411" t="s">
        <v>1242</v>
      </c>
      <c r="Q10" s="1"/>
      <c r="R10" s="37"/>
      <c r="S10" s="1"/>
    </row>
    <row r="11" spans="1:19" s="4" customFormat="1" ht="245.1" customHeight="1" x14ac:dyDescent="0.3">
      <c r="A11" s="14"/>
      <c r="B11" s="23" t="s">
        <v>420</v>
      </c>
      <c r="C11" s="9"/>
      <c r="D11" s="10" t="s">
        <v>350</v>
      </c>
      <c r="E11" s="9"/>
      <c r="F11" s="341"/>
      <c r="G11" s="21"/>
      <c r="H11" s="84" t="s">
        <v>417</v>
      </c>
      <c r="I11" s="21"/>
      <c r="J11" s="526"/>
      <c r="K11" s="31"/>
      <c r="L11" s="411" t="s">
        <v>421</v>
      </c>
      <c r="M11" s="31"/>
      <c r="N11" s="411" t="s">
        <v>422</v>
      </c>
      <c r="O11" s="31"/>
      <c r="P11" s="411" t="s">
        <v>1189</v>
      </c>
      <c r="Q11" s="31"/>
      <c r="R11" s="37"/>
      <c r="S11" s="31"/>
    </row>
    <row r="12" spans="1:19" s="4" customFormat="1" ht="53.25" customHeight="1" x14ac:dyDescent="0.35">
      <c r="A12" s="14"/>
      <c r="B12" s="25" t="s">
        <v>423</v>
      </c>
      <c r="C12" s="9"/>
      <c r="D12" s="381" t="s">
        <v>424</v>
      </c>
      <c r="E12" s="9"/>
      <c r="F12" s="10"/>
      <c r="G12" s="166"/>
      <c r="H12" s="84" t="s">
        <v>425</v>
      </c>
      <c r="I12" s="166"/>
      <c r="J12" s="526"/>
      <c r="K12" s="1"/>
      <c r="L12" s="37"/>
      <c r="M12" s="1"/>
      <c r="N12" s="37"/>
      <c r="O12" s="1"/>
      <c r="P12" s="37"/>
      <c r="Q12" s="1"/>
      <c r="R12" s="37"/>
      <c r="S12" s="1"/>
    </row>
    <row r="13" spans="1:19" s="4" customFormat="1" ht="53.25" customHeight="1" x14ac:dyDescent="0.35">
      <c r="A13" s="14"/>
      <c r="B13" s="25" t="str">
        <f>LEFT(B12,SEARCH(",",B12))&amp;" value"</f>
        <v>Crude oil (2709), value</v>
      </c>
      <c r="C13" s="9"/>
      <c r="D13" s="10" t="s">
        <v>204</v>
      </c>
      <c r="E13" s="9"/>
      <c r="F13" s="10"/>
      <c r="G13" s="166"/>
      <c r="H13" s="84"/>
      <c r="I13" s="166"/>
      <c r="J13" s="526"/>
      <c r="K13" s="20"/>
      <c r="L13" s="37"/>
      <c r="M13" s="20"/>
      <c r="N13" s="37"/>
      <c r="O13" s="20"/>
      <c r="P13" s="37"/>
      <c r="Q13" s="20"/>
      <c r="R13" s="37"/>
      <c r="S13" s="20"/>
    </row>
    <row r="14" spans="1:19" s="4" customFormat="1" ht="53.25" customHeight="1" x14ac:dyDescent="0.35">
      <c r="A14" s="14"/>
      <c r="B14" s="25" t="s">
        <v>426</v>
      </c>
      <c r="C14" s="9"/>
      <c r="D14" s="347" t="s">
        <v>427</v>
      </c>
      <c r="E14" s="9"/>
      <c r="F14" s="10"/>
      <c r="G14" s="166"/>
      <c r="H14" s="84" t="s">
        <v>425</v>
      </c>
      <c r="I14" s="166"/>
      <c r="J14" s="526"/>
      <c r="K14" s="20"/>
      <c r="L14" s="37"/>
      <c r="M14" s="20"/>
      <c r="N14" s="37"/>
      <c r="O14" s="20"/>
      <c r="P14" s="37"/>
      <c r="Q14" s="20"/>
      <c r="R14" s="37"/>
      <c r="S14" s="20"/>
    </row>
    <row r="15" spans="1:19" s="4" customFormat="1" ht="53.25" customHeight="1" x14ac:dyDescent="0.35">
      <c r="A15" s="14"/>
      <c r="B15" s="25" t="str">
        <f>LEFT(B14,SEARCH(",",B14))&amp;" value"</f>
        <v>Natural gas (2711), value</v>
      </c>
      <c r="C15" s="9"/>
      <c r="D15" s="10" t="s">
        <v>204</v>
      </c>
      <c r="E15" s="9"/>
      <c r="F15" s="10"/>
      <c r="G15" s="166"/>
      <c r="H15" s="84"/>
      <c r="I15" s="166"/>
      <c r="J15" s="526"/>
      <c r="K15" s="20"/>
      <c r="L15" s="37"/>
      <c r="M15" s="20"/>
      <c r="N15" s="37"/>
      <c r="O15" s="20"/>
      <c r="P15" s="37"/>
      <c r="Q15" s="20"/>
      <c r="R15" s="37"/>
      <c r="S15" s="20"/>
    </row>
    <row r="16" spans="1:19" s="4" customFormat="1" ht="53.25" customHeight="1" x14ac:dyDescent="0.35">
      <c r="A16" s="14"/>
      <c r="B16" s="25" t="s">
        <v>428</v>
      </c>
      <c r="C16" s="9"/>
      <c r="D16" s="381" t="s">
        <v>429</v>
      </c>
      <c r="E16" s="9"/>
      <c r="F16" s="10"/>
      <c r="G16" s="166"/>
      <c r="H16" s="84" t="s">
        <v>430</v>
      </c>
      <c r="I16" s="166"/>
      <c r="J16" s="526"/>
      <c r="K16" s="166"/>
      <c r="L16" s="37"/>
      <c r="M16" s="166"/>
      <c r="N16" s="37"/>
      <c r="O16" s="166"/>
      <c r="P16" s="37"/>
      <c r="Q16" s="166"/>
      <c r="R16" s="37"/>
      <c r="S16" s="166"/>
    </row>
    <row r="17" spans="1:19" s="4" customFormat="1" ht="53.25" customHeight="1" x14ac:dyDescent="0.35">
      <c r="A17" s="14"/>
      <c r="B17" s="25" t="str">
        <f>LEFT(B16,SEARCH(",",B16))&amp;" value"</f>
        <v>Gold (7108), value</v>
      </c>
      <c r="C17" s="9"/>
      <c r="D17" s="348" t="s">
        <v>431</v>
      </c>
      <c r="E17" s="9"/>
      <c r="F17" s="10"/>
      <c r="G17" s="166"/>
      <c r="H17" s="84" t="s">
        <v>432</v>
      </c>
      <c r="I17" s="166"/>
      <c r="J17" s="526"/>
      <c r="K17" s="166"/>
      <c r="L17" s="37"/>
      <c r="M17" s="166"/>
      <c r="N17" s="37"/>
      <c r="O17" s="166"/>
      <c r="P17" s="37"/>
      <c r="Q17" s="166"/>
      <c r="R17" s="37"/>
      <c r="S17" s="166"/>
    </row>
    <row r="18" spans="1:19" s="4" customFormat="1" ht="53.25" customHeight="1" x14ac:dyDescent="0.35">
      <c r="A18" s="14"/>
      <c r="B18" s="25" t="s">
        <v>433</v>
      </c>
      <c r="C18" s="9"/>
      <c r="D18" s="347" t="s">
        <v>434</v>
      </c>
      <c r="E18" s="9"/>
      <c r="F18" s="10"/>
      <c r="G18" s="166"/>
      <c r="H18" s="84" t="s">
        <v>435</v>
      </c>
      <c r="I18" s="166"/>
      <c r="J18" s="526"/>
      <c r="K18" s="166"/>
      <c r="L18" s="37"/>
      <c r="M18" s="166"/>
      <c r="N18" s="37"/>
      <c r="O18" s="166"/>
      <c r="P18" s="37"/>
      <c r="Q18" s="166"/>
      <c r="R18" s="37"/>
      <c r="S18" s="166"/>
    </row>
    <row r="19" spans="1:19" s="4" customFormat="1" ht="53.25" customHeight="1" x14ac:dyDescent="0.35">
      <c r="A19" s="14"/>
      <c r="B19" s="25" t="str">
        <f>LEFT(B18,SEARCH(",",B18))&amp;" value"</f>
        <v>Silver (7106), value</v>
      </c>
      <c r="C19" s="9"/>
      <c r="D19" s="348" t="s">
        <v>436</v>
      </c>
      <c r="E19" s="9"/>
      <c r="F19" s="10"/>
      <c r="G19" s="166"/>
      <c r="H19" s="84" t="s">
        <v>432</v>
      </c>
      <c r="I19" s="166"/>
      <c r="J19" s="526"/>
      <c r="K19" s="166"/>
      <c r="L19" s="37"/>
      <c r="M19" s="166"/>
      <c r="N19" s="37"/>
      <c r="O19" s="166"/>
      <c r="P19" s="37"/>
      <c r="Q19" s="166"/>
      <c r="R19" s="37"/>
      <c r="S19" s="166"/>
    </row>
    <row r="20" spans="1:19" s="4" customFormat="1" ht="53.25" customHeight="1" x14ac:dyDescent="0.35">
      <c r="A20" s="14"/>
      <c r="B20" s="25" t="s">
        <v>437</v>
      </c>
      <c r="C20" s="9"/>
      <c r="D20" s="10" t="s">
        <v>438</v>
      </c>
      <c r="E20" s="9"/>
      <c r="F20" s="10"/>
      <c r="G20" s="166"/>
      <c r="H20" s="84"/>
      <c r="I20" s="166"/>
      <c r="J20" s="526"/>
      <c r="K20" s="166"/>
      <c r="L20" s="37"/>
      <c r="M20" s="166"/>
      <c r="N20" s="37"/>
      <c r="O20" s="166"/>
      <c r="P20" s="37"/>
      <c r="Q20" s="166"/>
      <c r="R20" s="37"/>
      <c r="S20" s="166"/>
    </row>
    <row r="21" spans="1:19" s="4" customFormat="1" ht="53.25" customHeight="1" x14ac:dyDescent="0.35">
      <c r="A21" s="14"/>
      <c r="B21" s="25" t="str">
        <f>LEFT(B20,SEARCH(",",B20))&amp;" value"</f>
        <v>Coal (2701), value</v>
      </c>
      <c r="C21" s="9"/>
      <c r="D21" s="10" t="s">
        <v>438</v>
      </c>
      <c r="E21" s="9"/>
      <c r="F21" s="10"/>
      <c r="G21" s="166"/>
      <c r="H21" s="84"/>
      <c r="I21" s="166"/>
      <c r="J21" s="526"/>
      <c r="K21" s="166"/>
      <c r="L21" s="37"/>
      <c r="M21" s="166"/>
      <c r="N21" s="37"/>
      <c r="O21" s="166"/>
      <c r="P21" s="37"/>
      <c r="Q21" s="166"/>
      <c r="R21" s="37"/>
      <c r="S21" s="166"/>
    </row>
    <row r="22" spans="1:19" s="4" customFormat="1" ht="53.25" customHeight="1" x14ac:dyDescent="0.35">
      <c r="A22" s="14"/>
      <c r="B22" s="25" t="s">
        <v>439</v>
      </c>
      <c r="C22" s="9"/>
      <c r="D22" s="10" t="s">
        <v>440</v>
      </c>
      <c r="E22" s="9"/>
      <c r="F22" s="10"/>
      <c r="G22" s="166"/>
      <c r="H22" s="84" t="s">
        <v>435</v>
      </c>
      <c r="I22" s="166"/>
      <c r="J22" s="526"/>
      <c r="K22" s="166"/>
      <c r="L22" s="37"/>
      <c r="M22" s="166"/>
      <c r="N22" s="37"/>
      <c r="O22" s="166"/>
      <c r="P22" s="37"/>
      <c r="Q22" s="166"/>
      <c r="R22" s="37"/>
      <c r="S22" s="166"/>
    </row>
    <row r="23" spans="1:19" s="4" customFormat="1" ht="53.25" customHeight="1" x14ac:dyDescent="0.35">
      <c r="A23" s="14"/>
      <c r="B23" s="25" t="str">
        <f>LEFT(B22,SEARCH(",",B22))&amp;" value"</f>
        <v>Copper (2603), value</v>
      </c>
      <c r="C23" s="9"/>
      <c r="D23" s="348" t="s">
        <v>441</v>
      </c>
      <c r="E23" s="9"/>
      <c r="F23" s="10"/>
      <c r="G23" s="166"/>
      <c r="H23" s="84" t="s">
        <v>442</v>
      </c>
      <c r="I23" s="166"/>
      <c r="J23" s="526"/>
      <c r="K23" s="166"/>
      <c r="L23" s="37"/>
      <c r="M23" s="166"/>
      <c r="N23" s="37"/>
      <c r="O23" s="166"/>
      <c r="P23" s="37"/>
      <c r="Q23" s="166"/>
      <c r="R23" s="37"/>
      <c r="S23" s="166"/>
    </row>
    <row r="24" spans="1:19" s="4" customFormat="1" ht="53.25" customHeight="1" x14ac:dyDescent="0.35">
      <c r="A24" s="14"/>
      <c r="B24" s="25" t="s">
        <v>443</v>
      </c>
      <c r="C24" s="9"/>
      <c r="D24" s="347" t="s">
        <v>444</v>
      </c>
      <c r="E24" s="9"/>
      <c r="F24" s="10"/>
      <c r="G24" s="166"/>
      <c r="H24" s="84" t="s">
        <v>445</v>
      </c>
      <c r="I24" s="166"/>
      <c r="J24" s="526"/>
      <c r="K24" s="166"/>
      <c r="L24" s="37"/>
      <c r="M24" s="166"/>
      <c r="N24" s="37"/>
      <c r="O24" s="166"/>
      <c r="P24" s="37"/>
      <c r="Q24" s="166"/>
      <c r="R24" s="37"/>
      <c r="S24" s="166"/>
    </row>
    <row r="25" spans="1:19" s="4" customFormat="1" ht="53.25" customHeight="1" x14ac:dyDescent="0.35">
      <c r="A25" s="14"/>
      <c r="B25" s="25" t="str">
        <f>LEFT(B24,SEARCH(",",B24))&amp;" value"</f>
        <v>Add commodities here, value</v>
      </c>
      <c r="C25" s="9"/>
      <c r="D25" s="10" t="s">
        <v>204</v>
      </c>
      <c r="E25" s="9"/>
      <c r="F25" s="10"/>
      <c r="G25" s="166"/>
      <c r="H25" s="84"/>
      <c r="I25" s="166"/>
      <c r="J25" s="526"/>
      <c r="K25" s="166"/>
      <c r="L25" s="37"/>
      <c r="M25" s="166"/>
      <c r="N25" s="37"/>
      <c r="O25" s="166"/>
      <c r="P25" s="37"/>
      <c r="Q25" s="166"/>
      <c r="R25" s="37"/>
      <c r="S25" s="166"/>
    </row>
    <row r="26" spans="1:19" s="4" customFormat="1" ht="53.25" customHeight="1" x14ac:dyDescent="0.35">
      <c r="A26" s="14"/>
      <c r="B26" s="25" t="s">
        <v>446</v>
      </c>
      <c r="C26" s="9"/>
      <c r="D26" s="347" t="s">
        <v>447</v>
      </c>
      <c r="E26" s="9"/>
      <c r="F26" s="10"/>
      <c r="G26" s="166"/>
      <c r="H26" s="84" t="s">
        <v>448</v>
      </c>
      <c r="I26" s="166"/>
      <c r="J26" s="526"/>
      <c r="K26" s="166"/>
      <c r="L26" s="37"/>
      <c r="M26" s="166"/>
      <c r="N26" s="37"/>
      <c r="O26" s="166"/>
      <c r="P26" s="37"/>
      <c r="Q26" s="166"/>
      <c r="R26" s="37"/>
      <c r="S26" s="166"/>
    </row>
    <row r="27" spans="1:19" s="4" customFormat="1" ht="53.25" customHeight="1" x14ac:dyDescent="0.35">
      <c r="A27" s="15"/>
      <c r="B27" s="26" t="str">
        <f>LEFT(B26,SEARCH(",",B26))&amp;" value"</f>
        <v>Add commodities here, value</v>
      </c>
      <c r="C27" s="11"/>
      <c r="D27" s="349" t="s">
        <v>449</v>
      </c>
      <c r="E27" s="11"/>
      <c r="F27" s="12"/>
      <c r="G27" s="166"/>
      <c r="H27" s="84" t="s">
        <v>448</v>
      </c>
      <c r="I27" s="166"/>
      <c r="J27" s="527"/>
      <c r="K27" s="166"/>
      <c r="L27" s="37"/>
      <c r="M27" s="166"/>
      <c r="N27" s="37"/>
      <c r="O27" s="166"/>
      <c r="P27" s="37"/>
      <c r="Q27" s="166"/>
      <c r="R27" s="37"/>
      <c r="S27" s="166"/>
    </row>
  </sheetData>
  <mergeCells count="1">
    <mergeCell ref="J10:J27"/>
  </mergeCells>
  <hyperlinks>
    <hyperlink ref="B9" r:id="rId1" xr:uid="{861A18D6-DAB0-2A42-B0AC-9D9DB45B137C}"/>
    <hyperlink ref="F10" r:id="rId2" xr:uid="{3823FB56-6366-4832-A726-722F3EB86F96}"/>
  </hyperlinks>
  <pageMargins left="0.7" right="0.7" top="0.75" bottom="0.75" header="0.3" footer="0.3"/>
  <pageSetup paperSize="8" orientation="landscape" horizontalDpi="1200" verticalDpi="1200" r:id="rId3"/>
  <drawing r:id="rId4"/>
  <mc:AlternateContent xmlns:mc="http://schemas.openxmlformats.org/markup-compatibility/2006">
    <mc:Choice Requires="v">
      <legacyDrawing r:id="rId5"/>
    </mc:Choice>
  </mc:AlternateContent>
</worksheet>
</file>

<file path=xl/worksheets/sheet1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8B90F-EA51-7240-8FE0-02871E071FE2}">
  <sheetPr codeName="Sheet11"/>
  <dimension ref="A1:S27"/>
  <sheetViews>
    <sheetView topLeftCell="I11" zoomScale="70" zoomScaleNormal="70" workbookViewId="0">
      <selection activeCell="P13" sqref="P13"/>
    </sheetView>
  </sheetViews>
  <sheetFormatPr defaultColWidth="10.5" defaultRowHeight="16.2" x14ac:dyDescent="0.35"/>
  <cols>
    <col min="1" max="1" width="15" style="166" customWidth="1"/>
    <col min="2" max="2" width="30.3984375" style="166" customWidth="1"/>
    <col min="3" max="3" width="4.8984375" style="166" customWidth="1"/>
    <col min="4" max="4" width="40.5" style="166" customWidth="1"/>
    <col min="5" max="5" width="4.8984375" style="166" customWidth="1"/>
    <col min="6" max="6" width="57.09765625" style="166" customWidth="1"/>
    <col min="7" max="7" width="3" style="166" customWidth="1"/>
    <col min="8" max="8" width="61.8984375"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450</v>
      </c>
    </row>
    <row r="3" spans="1:19" s="31" customFormat="1" ht="135" x14ac:dyDescent="0.3">
      <c r="A3" s="32" t="s">
        <v>451</v>
      </c>
      <c r="B3" s="33" t="s">
        <v>452</v>
      </c>
      <c r="C3" s="34"/>
      <c r="D3" s="10" t="s">
        <v>106</v>
      </c>
      <c r="E3" s="34"/>
      <c r="F3" s="35"/>
      <c r="G3" s="34"/>
      <c r="H3" s="35"/>
      <c r="I3" s="34"/>
      <c r="J3" s="6"/>
      <c r="L3" s="37"/>
      <c r="N3" s="37"/>
      <c r="P3" s="37"/>
      <c r="R3" s="37"/>
    </row>
    <row r="4" spans="1:19" s="1" customFormat="1" ht="18.600000000000001" x14ac:dyDescent="0.3">
      <c r="B4" s="2"/>
      <c r="D4" s="2"/>
      <c r="F4" s="2"/>
      <c r="H4" s="2"/>
      <c r="J4" s="3"/>
      <c r="L4" s="3"/>
    </row>
    <row r="5" spans="1:19" s="1" customFormat="1" ht="74.400000000000006" x14ac:dyDescent="0.3">
      <c r="B5" s="2" t="s">
        <v>107</v>
      </c>
      <c r="D5" s="81" t="s">
        <v>108</v>
      </c>
      <c r="E5" s="45"/>
      <c r="F5" s="81" t="s">
        <v>109</v>
      </c>
      <c r="G5" s="45"/>
      <c r="H5" s="81" t="s">
        <v>110</v>
      </c>
      <c r="I5" s="53"/>
      <c r="J5" s="46" t="s">
        <v>111</v>
      </c>
      <c r="K5" s="29"/>
      <c r="L5" s="30" t="s">
        <v>112</v>
      </c>
      <c r="M5" s="29"/>
      <c r="N5" s="30" t="s">
        <v>113</v>
      </c>
      <c r="O5" s="29"/>
      <c r="P5" s="30" t="s">
        <v>114</v>
      </c>
      <c r="Q5" s="29"/>
      <c r="R5" s="30" t="s">
        <v>115</v>
      </c>
      <c r="S5" s="29"/>
    </row>
    <row r="6" spans="1:19" s="1" customFormat="1" ht="18.600000000000001" x14ac:dyDescent="0.3">
      <c r="B6" s="2"/>
      <c r="D6" s="2"/>
      <c r="F6" s="2"/>
      <c r="H6" s="2"/>
      <c r="J6" s="3"/>
      <c r="L6" s="3"/>
      <c r="N6" s="3"/>
      <c r="P6" s="3"/>
      <c r="R6" s="3"/>
    </row>
    <row r="7" spans="1:19" s="31" customFormat="1" ht="45" x14ac:dyDescent="0.3">
      <c r="A7" s="42" t="s">
        <v>164</v>
      </c>
      <c r="B7" s="201" t="s">
        <v>453</v>
      </c>
      <c r="D7" s="5" t="s">
        <v>58</v>
      </c>
      <c r="F7" s="43"/>
      <c r="H7" s="43"/>
      <c r="J7" s="44"/>
    </row>
    <row r="8" spans="1:19" s="1" customFormat="1" ht="18.600000000000001" x14ac:dyDescent="0.3">
      <c r="B8" s="2"/>
      <c r="D8" s="2"/>
      <c r="F8" s="2"/>
      <c r="H8" s="2"/>
      <c r="J8" s="3"/>
      <c r="L8" s="3"/>
      <c r="N8" s="3"/>
      <c r="P8" s="3"/>
      <c r="R8" s="3"/>
    </row>
    <row r="9" spans="1:19" s="4" customFormat="1" ht="15" x14ac:dyDescent="0.3">
      <c r="A9" s="13"/>
      <c r="B9" s="27" t="s">
        <v>414</v>
      </c>
      <c r="C9" s="7"/>
      <c r="D9" s="17"/>
      <c r="E9" s="7"/>
      <c r="F9" s="17"/>
      <c r="G9" s="19"/>
      <c r="H9" s="17"/>
      <c r="I9" s="19"/>
      <c r="J9" s="36"/>
      <c r="K9" s="20"/>
      <c r="L9" s="36"/>
      <c r="M9" s="20"/>
      <c r="N9" s="36"/>
      <c r="O9" s="20"/>
      <c r="P9" s="36"/>
      <c r="Q9" s="20"/>
      <c r="R9" s="36"/>
      <c r="S9" s="20"/>
    </row>
    <row r="10" spans="1:19" s="4" customFormat="1" ht="269.10000000000002" customHeight="1" x14ac:dyDescent="0.3">
      <c r="A10" s="13"/>
      <c r="B10" s="22" t="s">
        <v>454</v>
      </c>
      <c r="C10" s="7"/>
      <c r="D10" s="8" t="s">
        <v>350</v>
      </c>
      <c r="E10" s="7"/>
      <c r="F10" s="341"/>
      <c r="G10" s="1"/>
      <c r="H10" s="84" t="s">
        <v>455</v>
      </c>
      <c r="I10" s="1"/>
      <c r="J10" s="529"/>
      <c r="K10" s="1"/>
      <c r="L10" s="411" t="s">
        <v>456</v>
      </c>
      <c r="M10" s="1"/>
      <c r="N10" s="411" t="s">
        <v>457</v>
      </c>
      <c r="O10" s="1"/>
      <c r="P10" s="411" t="s">
        <v>1243</v>
      </c>
      <c r="Q10" s="1"/>
      <c r="R10" s="37"/>
      <c r="S10" s="1"/>
    </row>
    <row r="11" spans="1:19" s="4" customFormat="1" ht="273.60000000000002" customHeight="1" x14ac:dyDescent="0.3">
      <c r="A11" s="14"/>
      <c r="B11" s="23" t="s">
        <v>458</v>
      </c>
      <c r="C11" s="9"/>
      <c r="D11" s="10" t="s">
        <v>350</v>
      </c>
      <c r="E11" s="9"/>
      <c r="F11" s="345"/>
      <c r="G11" s="34"/>
      <c r="H11" s="84" t="s">
        <v>455</v>
      </c>
      <c r="I11" s="34"/>
      <c r="J11" s="526"/>
      <c r="K11" s="31"/>
      <c r="L11" s="411" t="s">
        <v>459</v>
      </c>
      <c r="M11" s="31"/>
      <c r="N11" s="37"/>
      <c r="O11" s="31"/>
      <c r="P11" s="411" t="s">
        <v>1244</v>
      </c>
      <c r="Q11" s="31"/>
      <c r="R11" s="37"/>
      <c r="S11" s="31"/>
    </row>
    <row r="12" spans="1:19" s="4" customFormat="1" ht="26.4" customHeight="1" x14ac:dyDescent="0.3">
      <c r="A12" s="14"/>
      <c r="B12" s="24" t="s">
        <v>423</v>
      </c>
      <c r="C12" s="9"/>
      <c r="D12" s="347" t="s">
        <v>460</v>
      </c>
      <c r="E12" s="9"/>
      <c r="F12" s="10"/>
      <c r="G12" s="1"/>
      <c r="H12" s="84" t="s">
        <v>445</v>
      </c>
      <c r="I12" s="1"/>
      <c r="J12" s="526"/>
      <c r="K12" s="1"/>
      <c r="L12" s="37"/>
      <c r="M12" s="1"/>
      <c r="N12" s="37"/>
      <c r="O12" s="1"/>
      <c r="P12" s="37"/>
      <c r="Q12" s="1"/>
      <c r="R12" s="37"/>
      <c r="S12" s="1"/>
    </row>
    <row r="13" spans="1:19" s="4" customFormat="1" ht="26.4" customHeight="1" x14ac:dyDescent="0.3">
      <c r="A13" s="14"/>
      <c r="B13" s="25" t="str">
        <f>LEFT(B12,SEARCH(",",B12))&amp;" value"</f>
        <v>Crude oil (2709), value</v>
      </c>
      <c r="C13" s="9"/>
      <c r="D13" s="10" t="s">
        <v>461</v>
      </c>
      <c r="E13" s="9"/>
      <c r="F13" s="10"/>
      <c r="G13" s="19"/>
      <c r="H13" s="84"/>
      <c r="I13" s="19"/>
      <c r="J13" s="526"/>
      <c r="K13" s="20"/>
      <c r="L13" s="37"/>
      <c r="M13" s="20"/>
      <c r="N13" s="37"/>
      <c r="O13" s="20"/>
      <c r="P13" s="37"/>
      <c r="Q13" s="20"/>
      <c r="R13" s="37"/>
      <c r="S13" s="20"/>
    </row>
    <row r="14" spans="1:19" s="4" customFormat="1" ht="26.4" customHeight="1" x14ac:dyDescent="0.3">
      <c r="A14" s="14"/>
      <c r="B14" s="24" t="s">
        <v>426</v>
      </c>
      <c r="C14" s="9"/>
      <c r="D14" s="347" t="s">
        <v>462</v>
      </c>
      <c r="E14" s="9"/>
      <c r="F14" s="10"/>
      <c r="G14" s="21"/>
      <c r="H14" s="84" t="s">
        <v>445</v>
      </c>
      <c r="I14" s="21"/>
      <c r="J14" s="526"/>
      <c r="K14" s="20"/>
      <c r="L14" s="37"/>
      <c r="M14" s="20"/>
      <c r="N14" s="37"/>
      <c r="O14" s="20"/>
      <c r="P14" s="37"/>
      <c r="Q14" s="20"/>
      <c r="R14" s="37"/>
      <c r="S14" s="20"/>
    </row>
    <row r="15" spans="1:19" s="4" customFormat="1" ht="24" customHeight="1" x14ac:dyDescent="0.3">
      <c r="A15" s="14"/>
      <c r="B15" s="25" t="str">
        <f>LEFT(B14,SEARCH(",",B14))&amp;" value"</f>
        <v>Natural gas (2711), value</v>
      </c>
      <c r="C15" s="9"/>
      <c r="D15" s="10" t="s">
        <v>461</v>
      </c>
      <c r="E15" s="9"/>
      <c r="F15" s="10"/>
      <c r="G15" s="21"/>
      <c r="H15" s="84"/>
      <c r="I15" s="21"/>
      <c r="J15" s="526"/>
      <c r="K15" s="20"/>
      <c r="L15" s="37"/>
      <c r="M15" s="20"/>
      <c r="N15" s="37"/>
      <c r="O15" s="20"/>
      <c r="P15" s="37"/>
      <c r="Q15" s="20"/>
      <c r="R15" s="37"/>
      <c r="S15" s="20"/>
    </row>
    <row r="16" spans="1:19" s="4" customFormat="1" ht="26.4" customHeight="1" x14ac:dyDescent="0.35">
      <c r="A16" s="14"/>
      <c r="B16" s="24" t="s">
        <v>428</v>
      </c>
      <c r="C16" s="9"/>
      <c r="D16" s="347" t="s">
        <v>463</v>
      </c>
      <c r="E16" s="9"/>
      <c r="F16" s="10"/>
      <c r="G16" s="166"/>
      <c r="H16" s="84" t="s">
        <v>464</v>
      </c>
      <c r="I16" s="166"/>
      <c r="J16" s="526"/>
      <c r="K16" s="166"/>
      <c r="L16" s="37"/>
      <c r="M16" s="166"/>
      <c r="N16" s="37"/>
      <c r="O16" s="166"/>
      <c r="P16" s="37"/>
      <c r="Q16" s="166"/>
      <c r="R16" s="37"/>
      <c r="S16" s="166"/>
    </row>
    <row r="17" spans="1:19" s="4" customFormat="1" ht="24.9" customHeight="1" x14ac:dyDescent="0.35">
      <c r="A17" s="14"/>
      <c r="B17" s="25" t="str">
        <f>LEFT(B16,SEARCH(",",B16))&amp;" value"</f>
        <v>Gold (7108), value</v>
      </c>
      <c r="C17" s="9"/>
      <c r="D17" s="348" t="s">
        <v>465</v>
      </c>
      <c r="E17" s="9"/>
      <c r="F17" s="10"/>
      <c r="G17" s="166"/>
      <c r="H17" s="84" t="s">
        <v>466</v>
      </c>
      <c r="I17" s="166"/>
      <c r="J17" s="526"/>
      <c r="K17" s="166"/>
      <c r="L17" s="37"/>
      <c r="M17" s="166"/>
      <c r="N17" s="37"/>
      <c r="O17" s="166"/>
      <c r="P17" s="37"/>
      <c r="Q17" s="166"/>
      <c r="R17" s="37"/>
      <c r="S17" s="166"/>
    </row>
    <row r="18" spans="1:19" s="4" customFormat="1" ht="27.9" customHeight="1" x14ac:dyDescent="0.35">
      <c r="A18" s="14"/>
      <c r="B18" s="24" t="s">
        <v>433</v>
      </c>
      <c r="C18" s="9"/>
      <c r="D18" s="347" t="s">
        <v>467</v>
      </c>
      <c r="E18" s="9"/>
      <c r="F18" s="10"/>
      <c r="G18" s="166"/>
      <c r="H18" s="84" t="s">
        <v>464</v>
      </c>
      <c r="I18" s="166"/>
      <c r="J18" s="526"/>
      <c r="K18" s="166"/>
      <c r="L18" s="37"/>
      <c r="M18" s="166"/>
      <c r="N18" s="37"/>
      <c r="O18" s="166"/>
      <c r="P18" s="37"/>
      <c r="Q18" s="166"/>
      <c r="R18" s="37"/>
      <c r="S18" s="166"/>
    </row>
    <row r="19" spans="1:19" s="4" customFormat="1" ht="26.4" customHeight="1" x14ac:dyDescent="0.35">
      <c r="A19" s="14"/>
      <c r="B19" s="25" t="str">
        <f>LEFT(B18,SEARCH(",",B18))&amp;" value"</f>
        <v>Silver (7106), value</v>
      </c>
      <c r="C19" s="9"/>
      <c r="D19" s="348" t="s">
        <v>468</v>
      </c>
      <c r="E19" s="9"/>
      <c r="F19" s="10"/>
      <c r="G19" s="166"/>
      <c r="H19" s="84" t="s">
        <v>466</v>
      </c>
      <c r="I19" s="166"/>
      <c r="J19" s="526"/>
      <c r="K19" s="166"/>
      <c r="L19" s="37"/>
      <c r="M19" s="166"/>
      <c r="N19" s="37"/>
      <c r="O19" s="166"/>
      <c r="P19" s="37"/>
      <c r="Q19" s="166"/>
      <c r="R19" s="37"/>
      <c r="S19" s="166"/>
    </row>
    <row r="20" spans="1:19" s="4" customFormat="1" ht="24.6" customHeight="1" x14ac:dyDescent="0.35">
      <c r="A20" s="14"/>
      <c r="B20" s="24" t="s">
        <v>437</v>
      </c>
      <c r="C20" s="9"/>
      <c r="D20" s="10" t="s">
        <v>461</v>
      </c>
      <c r="E20" s="9"/>
      <c r="F20" s="10"/>
      <c r="G20" s="166"/>
      <c r="H20" s="84"/>
      <c r="I20" s="166"/>
      <c r="J20" s="526"/>
      <c r="K20" s="166"/>
      <c r="L20" s="37"/>
      <c r="M20" s="166"/>
      <c r="N20" s="37"/>
      <c r="O20" s="166"/>
      <c r="P20" s="37"/>
      <c r="Q20" s="166"/>
      <c r="R20" s="37"/>
      <c r="S20" s="166"/>
    </row>
    <row r="21" spans="1:19" s="4" customFormat="1" ht="26.4" customHeight="1" x14ac:dyDescent="0.35">
      <c r="A21" s="14"/>
      <c r="B21" s="25" t="str">
        <f>LEFT(B20,SEARCH(",",B20))&amp;" value"</f>
        <v>Coal (2701), value</v>
      </c>
      <c r="C21" s="9"/>
      <c r="D21" s="10" t="s">
        <v>461</v>
      </c>
      <c r="E21" s="9"/>
      <c r="F21" s="10"/>
      <c r="G21" s="166"/>
      <c r="H21" s="84"/>
      <c r="I21" s="166"/>
      <c r="J21" s="526"/>
      <c r="K21" s="166"/>
      <c r="L21" s="37"/>
      <c r="M21" s="166"/>
      <c r="N21" s="37"/>
      <c r="O21" s="166"/>
      <c r="P21" s="37"/>
      <c r="Q21" s="166"/>
      <c r="R21" s="37"/>
      <c r="S21" s="166"/>
    </row>
    <row r="22" spans="1:19" s="4" customFormat="1" ht="29.1" customHeight="1" x14ac:dyDescent="0.35">
      <c r="A22" s="14"/>
      <c r="B22" s="24" t="s">
        <v>439</v>
      </c>
      <c r="C22" s="9"/>
      <c r="D22" s="347" t="s">
        <v>469</v>
      </c>
      <c r="E22" s="9"/>
      <c r="F22" s="10"/>
      <c r="G22" s="166"/>
      <c r="H22" s="84" t="s">
        <v>464</v>
      </c>
      <c r="I22" s="166"/>
      <c r="J22" s="526"/>
      <c r="K22" s="166"/>
      <c r="L22" s="37"/>
      <c r="M22" s="166"/>
      <c r="N22" s="37"/>
      <c r="O22" s="166"/>
      <c r="P22" s="37"/>
      <c r="Q22" s="166"/>
      <c r="R22" s="37"/>
      <c r="S22" s="166"/>
    </row>
    <row r="23" spans="1:19" s="4" customFormat="1" ht="28.5" customHeight="1" x14ac:dyDescent="0.35">
      <c r="A23" s="14"/>
      <c r="B23" s="25" t="str">
        <f>LEFT(B22,SEARCH(",",B22))&amp;" value"</f>
        <v>Copper (2603), value</v>
      </c>
      <c r="C23" s="9"/>
      <c r="D23" s="348" t="s">
        <v>470</v>
      </c>
      <c r="E23" s="9"/>
      <c r="F23" s="10"/>
      <c r="G23" s="166"/>
      <c r="H23" s="84" t="s">
        <v>466</v>
      </c>
      <c r="I23" s="166"/>
      <c r="J23" s="526"/>
      <c r="K23" s="166"/>
      <c r="L23" s="37"/>
      <c r="M23" s="166"/>
      <c r="N23" s="37"/>
      <c r="O23" s="166"/>
      <c r="P23" s="37"/>
      <c r="Q23" s="166"/>
      <c r="R23" s="37"/>
      <c r="S23" s="166"/>
    </row>
    <row r="24" spans="1:19" s="4" customFormat="1" ht="32.1" customHeight="1" x14ac:dyDescent="0.35">
      <c r="A24" s="14"/>
      <c r="B24" s="24" t="s">
        <v>443</v>
      </c>
      <c r="C24" s="9"/>
      <c r="D24" s="347" t="s">
        <v>471</v>
      </c>
      <c r="E24" s="9"/>
      <c r="F24" s="10"/>
      <c r="G24" s="166"/>
      <c r="H24" s="84" t="s">
        <v>445</v>
      </c>
      <c r="I24" s="166"/>
      <c r="J24" s="526"/>
      <c r="K24" s="166"/>
      <c r="L24" s="37"/>
      <c r="M24" s="166"/>
      <c r="N24" s="37"/>
      <c r="O24" s="166"/>
      <c r="P24" s="37"/>
      <c r="Q24" s="166"/>
      <c r="R24" s="37"/>
      <c r="S24" s="166"/>
    </row>
    <row r="25" spans="1:19" s="4" customFormat="1" ht="29.4" customHeight="1" x14ac:dyDescent="0.35">
      <c r="A25" s="14"/>
      <c r="B25" s="25" t="str">
        <f>LEFT(B24,SEARCH(",",B24))&amp;" value"</f>
        <v>Add commodities here, value</v>
      </c>
      <c r="C25" s="9"/>
      <c r="D25" s="10" t="s">
        <v>461</v>
      </c>
      <c r="E25" s="9"/>
      <c r="F25" s="10"/>
      <c r="G25" s="166"/>
      <c r="H25" s="84"/>
      <c r="I25" s="166"/>
      <c r="J25" s="526"/>
      <c r="K25" s="166"/>
      <c r="L25" s="37"/>
      <c r="M25" s="166"/>
      <c r="N25" s="37"/>
      <c r="O25" s="166"/>
      <c r="P25" s="37"/>
      <c r="Q25" s="166"/>
      <c r="R25" s="37"/>
      <c r="S25" s="166"/>
    </row>
    <row r="26" spans="1:19" s="4" customFormat="1" ht="29.4" customHeight="1" x14ac:dyDescent="0.35">
      <c r="A26" s="14"/>
      <c r="B26" s="24" t="s">
        <v>472</v>
      </c>
      <c r="C26" s="9"/>
      <c r="D26" s="347" t="s">
        <v>473</v>
      </c>
      <c r="E26" s="9"/>
      <c r="F26" s="10"/>
      <c r="G26" s="166"/>
      <c r="H26" s="84" t="s">
        <v>464</v>
      </c>
      <c r="I26" s="166"/>
      <c r="J26" s="526"/>
      <c r="K26" s="166"/>
      <c r="L26" s="37"/>
      <c r="M26" s="166"/>
      <c r="N26" s="37"/>
      <c r="O26" s="166"/>
      <c r="P26" s="37"/>
      <c r="Q26" s="166"/>
      <c r="R26" s="37"/>
      <c r="S26" s="166"/>
    </row>
    <row r="27" spans="1:19" s="4" customFormat="1" ht="26.1" customHeight="1" x14ac:dyDescent="0.35">
      <c r="A27" s="15"/>
      <c r="B27" s="26" t="str">
        <f>LEFT(B26,SEARCH(",",B26))&amp;" value"</f>
        <v>Add commodities here, value</v>
      </c>
      <c r="C27" s="11"/>
      <c r="D27" s="349" t="s">
        <v>474</v>
      </c>
      <c r="E27" s="11"/>
      <c r="F27" s="12"/>
      <c r="G27" s="166"/>
      <c r="H27" s="84" t="s">
        <v>466</v>
      </c>
      <c r="I27" s="166"/>
      <c r="J27" s="527"/>
      <c r="K27" s="166"/>
      <c r="L27" s="37"/>
      <c r="M27" s="166"/>
      <c r="N27" s="37"/>
      <c r="O27" s="166"/>
      <c r="P27" s="37"/>
      <c r="Q27" s="166"/>
      <c r="R27" s="37"/>
      <c r="S27" s="166"/>
    </row>
  </sheetData>
  <mergeCells count="1">
    <mergeCell ref="J10:J27"/>
  </mergeCells>
  <hyperlinks>
    <hyperlink ref="B9" r:id="rId1" xr:uid="{BC2E38CF-48FB-984E-80B9-2EB75B76021D}"/>
  </hyperlinks>
  <pageMargins left="0.7" right="0.7" top="0.75" bottom="0.75" header="0.3" footer="0.3"/>
  <pageSetup paperSize="8" orientation="landscape" horizontalDpi="1200" verticalDpi="1200" r:id="rId2"/>
</worksheet>
</file>

<file path=xl/worksheets/sheet12.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AAD01-BC72-854E-9D3E-0F8424E2DC8E}">
  <sheetPr codeName="Sheet12"/>
  <dimension ref="A1:S25"/>
  <sheetViews>
    <sheetView topLeftCell="G11" zoomScale="60" zoomScaleNormal="60" zoomScalePageLayoutView="115" workbookViewId="0">
      <selection activeCell="L19" sqref="L19"/>
    </sheetView>
  </sheetViews>
  <sheetFormatPr defaultColWidth="10.5" defaultRowHeight="16.2" x14ac:dyDescent="0.35"/>
  <cols>
    <col min="1" max="1" width="15.5" style="166" customWidth="1"/>
    <col min="2" max="2" width="71.5" style="166" customWidth="1"/>
    <col min="3" max="3" width="3" style="166" customWidth="1"/>
    <col min="4" max="4" width="23" style="166" customWidth="1"/>
    <col min="5" max="5" width="3" style="166" customWidth="1"/>
    <col min="6" max="6" width="54.59765625" style="166" customWidth="1"/>
    <col min="7" max="7" width="3" style="166" customWidth="1"/>
    <col min="8" max="8" width="43.19921875"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58.3984375" style="166" customWidth="1"/>
    <col min="17" max="17" width="3" style="166" customWidth="1"/>
    <col min="18" max="18" width="39.5" style="166" customWidth="1"/>
    <col min="19" max="19" width="3" style="166" customWidth="1"/>
    <col min="20" max="16384" width="10.5" style="166"/>
  </cols>
  <sheetData>
    <row r="1" spans="1:19" ht="24.6" x14ac:dyDescent="0.4">
      <c r="A1" s="165" t="s">
        <v>475</v>
      </c>
    </row>
    <row r="3" spans="1:19" s="40" customFormat="1" ht="60" x14ac:dyDescent="0.3">
      <c r="A3" s="206" t="s">
        <v>476</v>
      </c>
      <c r="B3" s="57" t="s">
        <v>477</v>
      </c>
      <c r="D3" s="10" t="s">
        <v>106</v>
      </c>
      <c r="F3" s="58"/>
      <c r="H3" s="58"/>
      <c r="J3" s="49"/>
      <c r="L3" s="39"/>
      <c r="N3" s="39"/>
      <c r="P3" s="39"/>
      <c r="R3" s="39"/>
    </row>
    <row r="4" spans="1:19" s="38" customFormat="1" ht="18.600000000000001" x14ac:dyDescent="0.3">
      <c r="A4" s="56"/>
      <c r="B4" s="47"/>
      <c r="D4" s="47"/>
      <c r="F4" s="47"/>
      <c r="H4" s="47"/>
      <c r="J4" s="48"/>
      <c r="L4" s="48"/>
    </row>
    <row r="5" spans="1:19" s="53" customFormat="1" ht="74.25" customHeight="1" x14ac:dyDescent="0.3">
      <c r="A5" s="51"/>
      <c r="B5" s="52" t="s">
        <v>107</v>
      </c>
      <c r="D5" s="81" t="s">
        <v>108</v>
      </c>
      <c r="E5" s="45"/>
      <c r="F5" s="81" t="s">
        <v>109</v>
      </c>
      <c r="G5" s="45"/>
      <c r="H5" s="81" t="s">
        <v>110</v>
      </c>
      <c r="J5" s="46" t="s">
        <v>111</v>
      </c>
      <c r="K5" s="45"/>
      <c r="L5" s="46" t="s">
        <v>112</v>
      </c>
      <c r="M5" s="45"/>
      <c r="N5" s="46" t="s">
        <v>113</v>
      </c>
      <c r="O5" s="45"/>
      <c r="P5" s="46" t="s">
        <v>114</v>
      </c>
      <c r="Q5" s="45"/>
      <c r="R5" s="46" t="s">
        <v>115</v>
      </c>
    </row>
    <row r="6" spans="1:19" s="38" customFormat="1" ht="18.600000000000001" x14ac:dyDescent="0.3">
      <c r="A6" s="56"/>
      <c r="B6" s="47"/>
      <c r="D6" s="47"/>
      <c r="F6" s="47"/>
      <c r="H6" s="47"/>
      <c r="J6" s="48"/>
      <c r="L6" s="48"/>
      <c r="N6" s="48"/>
      <c r="P6" s="48"/>
      <c r="R6" s="48"/>
    </row>
    <row r="7" spans="1:19" s="9" customFormat="1" ht="189.6" customHeight="1" x14ac:dyDescent="0.3">
      <c r="A7" s="14"/>
      <c r="B7" s="23" t="s">
        <v>478</v>
      </c>
      <c r="D7" s="10" t="s">
        <v>126</v>
      </c>
      <c r="F7" s="341"/>
      <c r="G7" s="38"/>
      <c r="H7" s="84" t="s">
        <v>479</v>
      </c>
      <c r="I7" s="38"/>
      <c r="J7" s="530"/>
      <c r="K7" s="38"/>
      <c r="L7" s="404" t="s">
        <v>480</v>
      </c>
      <c r="M7" s="40"/>
      <c r="N7" s="39"/>
      <c r="O7" s="40"/>
      <c r="P7" s="39"/>
      <c r="Q7" s="40"/>
      <c r="R7" s="39"/>
      <c r="S7" s="38"/>
    </row>
    <row r="8" spans="1:19" s="9" customFormat="1" ht="258.60000000000002" customHeight="1" x14ac:dyDescent="0.3">
      <c r="A8" s="14"/>
      <c r="B8" s="54" t="s">
        <v>481</v>
      </c>
      <c r="D8" s="10" t="s">
        <v>126</v>
      </c>
      <c r="F8" s="341"/>
      <c r="G8" s="40"/>
      <c r="H8" s="84" t="s">
        <v>482</v>
      </c>
      <c r="I8" s="40"/>
      <c r="J8" s="531"/>
      <c r="K8" s="40"/>
      <c r="L8" s="408" t="s">
        <v>483</v>
      </c>
      <c r="M8" s="40"/>
      <c r="N8" s="39"/>
      <c r="O8" s="40"/>
      <c r="P8" s="39"/>
      <c r="Q8" s="40"/>
      <c r="R8" s="39"/>
      <c r="S8" s="40"/>
    </row>
    <row r="9" spans="1:19" s="9" customFormat="1" ht="253.5" customHeight="1" x14ac:dyDescent="0.3">
      <c r="A9" s="14"/>
      <c r="B9" s="54" t="s">
        <v>484</v>
      </c>
      <c r="D9" s="10" t="s">
        <v>126</v>
      </c>
      <c r="F9" s="341"/>
      <c r="G9" s="40"/>
      <c r="H9" s="84" t="s">
        <v>485</v>
      </c>
      <c r="I9" s="40"/>
      <c r="J9" s="531"/>
      <c r="K9" s="40"/>
      <c r="L9" s="404" t="s">
        <v>486</v>
      </c>
      <c r="M9" s="40"/>
      <c r="N9" s="404" t="s">
        <v>487</v>
      </c>
      <c r="O9" s="40"/>
      <c r="P9" s="404" t="s">
        <v>1192</v>
      </c>
      <c r="Q9" s="40"/>
      <c r="R9" s="39"/>
      <c r="S9" s="40"/>
    </row>
    <row r="10" spans="1:19" s="9" customFormat="1" ht="165" x14ac:dyDescent="0.3">
      <c r="A10" s="14"/>
      <c r="B10" s="54" t="s">
        <v>488</v>
      </c>
      <c r="D10" s="10" t="s">
        <v>126</v>
      </c>
      <c r="F10" s="341"/>
      <c r="G10" s="40"/>
      <c r="H10" s="84" t="s">
        <v>489</v>
      </c>
      <c r="I10" s="40"/>
      <c r="J10" s="531"/>
      <c r="K10" s="40"/>
      <c r="L10" s="404" t="s">
        <v>490</v>
      </c>
      <c r="M10" s="40"/>
      <c r="N10" s="39"/>
      <c r="O10" s="40"/>
      <c r="P10" s="39"/>
      <c r="Q10" s="40"/>
      <c r="R10" s="39"/>
      <c r="S10" s="40"/>
    </row>
    <row r="11" spans="1:19" s="9" customFormat="1" ht="360" x14ac:dyDescent="0.3">
      <c r="A11" s="14"/>
      <c r="B11" s="54" t="s">
        <v>491</v>
      </c>
      <c r="D11" s="10" t="s">
        <v>126</v>
      </c>
      <c r="F11" s="341"/>
      <c r="G11" s="40"/>
      <c r="H11" s="84" t="s">
        <v>492</v>
      </c>
      <c r="I11" s="40"/>
      <c r="J11" s="531"/>
      <c r="K11" s="40"/>
      <c r="L11" s="404" t="s">
        <v>493</v>
      </c>
      <c r="M11" s="40"/>
      <c r="N11" s="39"/>
      <c r="O11" s="40"/>
      <c r="P11" s="39"/>
      <c r="Q11" s="40"/>
      <c r="R11" s="39"/>
      <c r="S11" s="40"/>
    </row>
    <row r="12" spans="1:19" s="9" customFormat="1" ht="240" x14ac:dyDescent="0.3">
      <c r="A12" s="14"/>
      <c r="B12" s="54" t="s">
        <v>494</v>
      </c>
      <c r="D12" s="10" t="s">
        <v>126</v>
      </c>
      <c r="F12" s="341"/>
      <c r="G12" s="40"/>
      <c r="H12" s="84" t="s">
        <v>495</v>
      </c>
      <c r="I12" s="40"/>
      <c r="J12" s="531"/>
      <c r="K12" s="40"/>
      <c r="L12" s="404" t="s">
        <v>486</v>
      </c>
      <c r="M12" s="40"/>
      <c r="N12" s="404" t="s">
        <v>496</v>
      </c>
      <c r="O12" s="40"/>
      <c r="P12" s="404" t="s">
        <v>1193</v>
      </c>
      <c r="Q12" s="40"/>
      <c r="R12" s="39"/>
      <c r="S12" s="40"/>
    </row>
    <row r="13" spans="1:19" s="9" customFormat="1" ht="30" x14ac:dyDescent="0.3">
      <c r="A13" s="14"/>
      <c r="B13" s="54" t="s">
        <v>497</v>
      </c>
      <c r="D13" s="10" t="s">
        <v>126</v>
      </c>
      <c r="F13" s="341"/>
      <c r="G13" s="40"/>
      <c r="H13" s="84" t="s">
        <v>498</v>
      </c>
      <c r="I13" s="40"/>
      <c r="J13" s="531"/>
      <c r="K13" s="40"/>
      <c r="L13" s="404" t="s">
        <v>499</v>
      </c>
      <c r="M13" s="40"/>
      <c r="N13" s="39"/>
      <c r="O13" s="40"/>
      <c r="P13" s="39"/>
      <c r="Q13" s="40"/>
      <c r="R13" s="39"/>
      <c r="S13" s="40"/>
    </row>
    <row r="14" spans="1:19" s="9" customFormat="1" ht="150" x14ac:dyDescent="0.3">
      <c r="A14" s="14"/>
      <c r="B14" s="54" t="s">
        <v>500</v>
      </c>
      <c r="D14" s="10" t="s">
        <v>126</v>
      </c>
      <c r="F14" s="341"/>
      <c r="G14" s="40"/>
      <c r="H14" s="84" t="s">
        <v>501</v>
      </c>
      <c r="I14" s="40"/>
      <c r="J14" s="531"/>
      <c r="K14" s="40"/>
      <c r="L14" s="404" t="s">
        <v>502</v>
      </c>
      <c r="M14" s="40"/>
      <c r="N14" s="404" t="s">
        <v>503</v>
      </c>
      <c r="O14" s="40"/>
      <c r="P14" s="404" t="s">
        <v>1191</v>
      </c>
      <c r="Q14" s="40"/>
      <c r="R14" s="39"/>
      <c r="S14" s="40"/>
    </row>
    <row r="15" spans="1:19" s="9" customFormat="1" ht="211.5" customHeight="1" x14ac:dyDescent="0.3">
      <c r="A15" s="14"/>
      <c r="B15" s="54" t="s">
        <v>504</v>
      </c>
      <c r="D15" s="10" t="s">
        <v>126</v>
      </c>
      <c r="F15" s="341"/>
      <c r="G15" s="40"/>
      <c r="H15" s="84" t="s">
        <v>505</v>
      </c>
      <c r="I15" s="40"/>
      <c r="J15" s="531"/>
      <c r="K15" s="40"/>
      <c r="L15" s="404" t="s">
        <v>506</v>
      </c>
      <c r="M15" s="40"/>
      <c r="N15" s="430" t="s">
        <v>507</v>
      </c>
      <c r="O15" s="40"/>
      <c r="P15" s="404" t="s">
        <v>1195</v>
      </c>
      <c r="Q15" s="40"/>
      <c r="R15" s="39"/>
      <c r="S15" s="40"/>
    </row>
    <row r="16" spans="1:19" s="9" customFormat="1" ht="132.9" customHeight="1" x14ac:dyDescent="0.3">
      <c r="A16" s="14"/>
      <c r="B16" s="54" t="s">
        <v>508</v>
      </c>
      <c r="D16" s="10" t="s">
        <v>126</v>
      </c>
      <c r="F16" s="341"/>
      <c r="G16" s="40"/>
      <c r="H16" s="84" t="s">
        <v>505</v>
      </c>
      <c r="I16" s="40"/>
      <c r="J16" s="531"/>
      <c r="K16" s="40"/>
      <c r="L16" s="39" t="s">
        <v>191</v>
      </c>
      <c r="M16" s="40"/>
      <c r="N16" s="430" t="s">
        <v>509</v>
      </c>
      <c r="O16" s="40"/>
      <c r="P16" s="404" t="s">
        <v>1196</v>
      </c>
      <c r="Q16" s="40"/>
      <c r="R16" s="39"/>
      <c r="S16" s="40"/>
    </row>
    <row r="17" spans="1:19" s="9" customFormat="1" ht="164.4" customHeight="1" x14ac:dyDescent="0.3">
      <c r="A17" s="14"/>
      <c r="B17" s="54" t="s">
        <v>510</v>
      </c>
      <c r="D17" s="10" t="s">
        <v>126</v>
      </c>
      <c r="F17" s="84"/>
      <c r="G17" s="40"/>
      <c r="H17" s="84" t="s">
        <v>511</v>
      </c>
      <c r="I17" s="40"/>
      <c r="J17" s="531"/>
      <c r="K17" s="40"/>
      <c r="L17" s="404" t="s">
        <v>512</v>
      </c>
      <c r="M17" s="40"/>
      <c r="N17" s="430" t="s">
        <v>513</v>
      </c>
      <c r="O17" s="40"/>
      <c r="P17" s="404" t="s">
        <v>1245</v>
      </c>
      <c r="Q17" s="40"/>
      <c r="R17" s="39"/>
      <c r="S17" s="40"/>
    </row>
    <row r="18" spans="1:19" s="9" customFormat="1" ht="30" x14ac:dyDescent="0.3">
      <c r="A18" s="14"/>
      <c r="B18" s="54" t="s">
        <v>514</v>
      </c>
      <c r="D18" s="10" t="s">
        <v>126</v>
      </c>
      <c r="F18" s="341"/>
      <c r="G18" s="40"/>
      <c r="H18" s="84" t="s">
        <v>515</v>
      </c>
      <c r="I18" s="40"/>
      <c r="J18" s="531"/>
      <c r="K18" s="40"/>
      <c r="L18" s="404" t="s">
        <v>516</v>
      </c>
      <c r="M18" s="40"/>
      <c r="N18" s="39"/>
      <c r="O18" s="40"/>
      <c r="P18" s="39"/>
      <c r="Q18" s="40"/>
      <c r="R18" s="39"/>
      <c r="S18" s="38"/>
    </row>
    <row r="19" spans="1:19" s="9" customFormat="1" ht="135" x14ac:dyDescent="0.3">
      <c r="A19" s="14"/>
      <c r="B19" s="54" t="s">
        <v>517</v>
      </c>
      <c r="D19" s="10" t="s">
        <v>58</v>
      </c>
      <c r="F19" s="84" t="s">
        <v>1197</v>
      </c>
      <c r="G19" s="40"/>
      <c r="H19" s="84"/>
      <c r="I19" s="40"/>
      <c r="J19" s="532"/>
      <c r="K19" s="40"/>
      <c r="L19" s="404" t="s">
        <v>518</v>
      </c>
      <c r="M19" s="40"/>
      <c r="N19" s="430" t="s">
        <v>519</v>
      </c>
      <c r="O19" s="40"/>
      <c r="P19" s="404" t="s">
        <v>1246</v>
      </c>
      <c r="Q19" s="40"/>
      <c r="R19" s="39"/>
      <c r="S19" s="40"/>
    </row>
    <row r="20" spans="1:19" s="69" customFormat="1" ht="31.2" x14ac:dyDescent="0.3">
      <c r="A20" s="68"/>
      <c r="B20" s="443"/>
      <c r="D20" s="71"/>
      <c r="F20" s="446" t="s">
        <v>1198</v>
      </c>
      <c r="G20" s="70"/>
      <c r="H20" s="442"/>
      <c r="I20" s="70"/>
      <c r="J20" s="441"/>
      <c r="K20" s="70"/>
      <c r="L20" s="444"/>
      <c r="M20" s="70"/>
      <c r="N20" s="445"/>
      <c r="O20" s="70"/>
      <c r="P20" s="72"/>
      <c r="Q20" s="70"/>
      <c r="R20" s="72"/>
      <c r="S20" s="70"/>
    </row>
    <row r="21" spans="1:19" s="69" customFormat="1" x14ac:dyDescent="0.3">
      <c r="A21" s="68"/>
      <c r="B21" s="443"/>
      <c r="D21" s="71"/>
      <c r="F21" s="442"/>
      <c r="G21" s="70"/>
      <c r="H21" s="442"/>
      <c r="I21" s="70"/>
      <c r="J21" s="441"/>
      <c r="K21" s="70"/>
      <c r="L21" s="444"/>
      <c r="M21" s="70"/>
      <c r="N21" s="445"/>
      <c r="O21" s="70"/>
      <c r="P21" s="72"/>
      <c r="Q21" s="70"/>
      <c r="R21" s="72"/>
      <c r="S21" s="70"/>
    </row>
    <row r="22" spans="1:19" s="69" customFormat="1" x14ac:dyDescent="0.3">
      <c r="A22" s="68"/>
      <c r="B22" s="443"/>
      <c r="D22" s="71"/>
      <c r="F22" s="442"/>
      <c r="G22" s="70"/>
      <c r="H22" s="442"/>
      <c r="I22" s="70"/>
      <c r="J22" s="441"/>
      <c r="K22" s="70"/>
      <c r="L22" s="444"/>
      <c r="M22" s="70"/>
      <c r="N22" s="445"/>
      <c r="O22" s="70"/>
      <c r="P22" s="72"/>
      <c r="Q22" s="70"/>
      <c r="R22" s="72"/>
      <c r="S22" s="70"/>
    </row>
    <row r="23" spans="1:19" s="69" customFormat="1" x14ac:dyDescent="0.3">
      <c r="A23" s="68"/>
      <c r="B23" s="443"/>
      <c r="D23" s="71"/>
      <c r="F23" s="442"/>
      <c r="G23" s="70"/>
      <c r="H23" s="442"/>
      <c r="I23" s="70"/>
      <c r="J23" s="441"/>
      <c r="K23" s="70"/>
      <c r="L23" s="444"/>
      <c r="M23" s="70"/>
      <c r="N23" s="445"/>
      <c r="O23" s="70"/>
      <c r="P23" s="72"/>
      <c r="Q23" s="70"/>
      <c r="R23" s="72"/>
      <c r="S23" s="70"/>
    </row>
    <row r="24" spans="1:19" s="69" customFormat="1" x14ac:dyDescent="0.3">
      <c r="A24" s="68"/>
      <c r="B24" s="443"/>
      <c r="D24" s="71"/>
      <c r="F24" s="442"/>
      <c r="G24" s="70"/>
      <c r="H24" s="442"/>
      <c r="I24" s="70"/>
      <c r="J24" s="441"/>
      <c r="K24" s="70"/>
      <c r="L24" s="444"/>
      <c r="M24" s="70"/>
      <c r="N24" s="445"/>
      <c r="O24" s="70"/>
      <c r="P24" s="72"/>
      <c r="Q24" s="70"/>
      <c r="R24" s="72"/>
      <c r="S24" s="70"/>
    </row>
    <row r="25" spans="1:19" s="168" customFormat="1" x14ac:dyDescent="0.35">
      <c r="A25" s="167"/>
    </row>
  </sheetData>
  <mergeCells count="1">
    <mergeCell ref="J7:J19"/>
  </mergeCells>
  <hyperlinks>
    <hyperlink ref="F20" r:id="rId1" xr:uid="{4DC2E40F-A9E5-412B-8C55-CA7082DB7989}"/>
  </hyperlinks>
  <pageMargins left="0.7" right="0.7" top="0.75" bottom="0.75" header="0.3" footer="0.3"/>
  <pageSetup paperSize="8" orientation="landscape" horizontalDpi="1200" verticalDpi="1200" r:id="rId2"/>
  <drawing r:id="rId3"/>
  <mc:AlternateContent xmlns:mc="http://schemas.openxmlformats.org/markup-compatibility/2006">
    <mc:Choice Requires="v">
      <legacyDrawing r:id="rId4"/>
    </mc:Choice>
  </mc:AlternateContent>
</worksheet>
</file>

<file path=xl/worksheets/sheet13.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97114-B2AA-E14F-8E0A-D47AA383A57E}">
  <sheetPr codeName="Sheet13"/>
  <dimension ref="A1:O125"/>
  <sheetViews>
    <sheetView showGridLines="0" topLeftCell="E95" zoomScale="60" zoomScaleNormal="60" workbookViewId="0">
      <selection activeCell="K125" sqref="K125"/>
    </sheetView>
  </sheetViews>
  <sheetFormatPr defaultColWidth="4" defaultRowHeight="24" customHeight="1" x14ac:dyDescent="0.3"/>
  <cols>
    <col min="1" max="1" width="4" style="4"/>
    <col min="2" max="2" width="50.09765625" style="4" customWidth="1"/>
    <col min="3" max="3" width="38.09765625" style="4" customWidth="1"/>
    <col min="4" max="4" width="27.8984375" style="4" customWidth="1"/>
    <col min="5" max="5" width="15.5" style="4" customWidth="1"/>
    <col min="6" max="6" width="21.5" style="4" customWidth="1"/>
    <col min="7" max="7" width="19.19921875" style="4" customWidth="1"/>
    <col min="8" max="8" width="10.8984375" style="4" customWidth="1"/>
    <col min="9" max="9" width="26.59765625" style="4" customWidth="1"/>
    <col min="10" max="10" width="11.3984375" style="4" customWidth="1"/>
    <col min="11" max="11" width="27.3984375" style="4" customWidth="1"/>
    <col min="12" max="13" width="4" style="4"/>
    <col min="14" max="14" width="4.8984375" style="4" bestFit="1" customWidth="1"/>
    <col min="15" max="15" width="9.3984375" style="4" bestFit="1" customWidth="1"/>
    <col min="16" max="33" width="4" style="4"/>
    <col min="34" max="34" width="12" style="4" bestFit="1" customWidth="1"/>
    <col min="35" max="16384" width="4" style="4"/>
  </cols>
  <sheetData>
    <row r="1" spans="1:14" ht="15" x14ac:dyDescent="0.3"/>
    <row r="2" spans="1:14" s="193" customFormat="1" ht="15" x14ac:dyDescent="0.3">
      <c r="A2" s="4"/>
      <c r="B2" s="542" t="s">
        <v>520</v>
      </c>
      <c r="C2" s="542"/>
      <c r="D2" s="542"/>
      <c r="E2" s="542"/>
      <c r="F2" s="542"/>
      <c r="G2" s="542"/>
      <c r="H2" s="542"/>
      <c r="I2" s="542"/>
      <c r="J2" s="542"/>
    </row>
    <row r="3" spans="1:14" x14ac:dyDescent="0.3">
      <c r="B3" s="543" t="s">
        <v>34</v>
      </c>
      <c r="C3" s="543"/>
      <c r="D3" s="543"/>
      <c r="E3" s="543"/>
      <c r="F3" s="543"/>
      <c r="G3" s="543"/>
      <c r="H3" s="543"/>
      <c r="I3" s="543"/>
      <c r="J3" s="543"/>
    </row>
    <row r="4" spans="1:14" ht="15" x14ac:dyDescent="0.3">
      <c r="B4" s="544" t="s">
        <v>521</v>
      </c>
      <c r="C4" s="544"/>
      <c r="D4" s="544"/>
      <c r="E4" s="544"/>
      <c r="F4" s="544"/>
      <c r="G4" s="544"/>
      <c r="H4" s="544"/>
      <c r="I4" s="544"/>
      <c r="J4" s="544"/>
    </row>
    <row r="5" spans="1:14" ht="15" x14ac:dyDescent="0.3">
      <c r="B5" s="544" t="s">
        <v>522</v>
      </c>
      <c r="C5" s="544"/>
      <c r="D5" s="544"/>
      <c r="E5" s="544"/>
      <c r="F5" s="544"/>
      <c r="G5" s="544"/>
      <c r="H5" s="544"/>
      <c r="I5" s="544"/>
      <c r="J5" s="544"/>
    </row>
    <row r="6" spans="1:14" ht="15" x14ac:dyDescent="0.3">
      <c r="B6" s="544" t="s">
        <v>523</v>
      </c>
      <c r="C6" s="544"/>
      <c r="D6" s="544"/>
      <c r="E6" s="544"/>
      <c r="F6" s="544"/>
      <c r="G6" s="544"/>
      <c r="H6" s="544"/>
      <c r="I6" s="544"/>
      <c r="J6" s="544"/>
    </row>
    <row r="7" spans="1:14" ht="15.75" customHeight="1" x14ac:dyDescent="0.3">
      <c r="B7" s="544" t="s">
        <v>524</v>
      </c>
      <c r="C7" s="544"/>
      <c r="D7" s="544"/>
      <c r="E7" s="544"/>
      <c r="F7" s="544"/>
      <c r="G7" s="544"/>
      <c r="H7" s="544"/>
      <c r="I7" s="544"/>
      <c r="J7" s="544"/>
    </row>
    <row r="8" spans="1:14" ht="15" x14ac:dyDescent="0.35">
      <c r="B8" s="545" t="s">
        <v>38</v>
      </c>
      <c r="C8" s="545"/>
      <c r="D8" s="545"/>
      <c r="E8" s="545"/>
      <c r="F8" s="545"/>
      <c r="G8" s="545"/>
      <c r="H8" s="545"/>
      <c r="I8" s="545"/>
      <c r="J8" s="545"/>
    </row>
    <row r="9" spans="1:14" ht="15" x14ac:dyDescent="0.3"/>
    <row r="10" spans="1:14" x14ac:dyDescent="0.3">
      <c r="B10" s="546" t="s">
        <v>525</v>
      </c>
      <c r="C10" s="546"/>
      <c r="D10" s="546"/>
      <c r="E10" s="546"/>
      <c r="F10" s="546"/>
      <c r="G10" s="546"/>
      <c r="H10" s="546"/>
      <c r="I10" s="546"/>
      <c r="J10" s="546"/>
    </row>
    <row r="11" spans="1:14" s="85" customFormat="1" ht="25.5" customHeight="1" x14ac:dyDescent="0.3">
      <c r="B11" s="547" t="s">
        <v>526</v>
      </c>
      <c r="C11" s="547"/>
      <c r="D11" s="547"/>
      <c r="E11" s="547"/>
      <c r="F11" s="547"/>
      <c r="G11" s="547"/>
      <c r="H11" s="547"/>
      <c r="I11" s="547"/>
      <c r="J11" s="547"/>
    </row>
    <row r="12" spans="1:14" s="86" customFormat="1" ht="15" x14ac:dyDescent="0.3">
      <c r="B12" s="548"/>
      <c r="C12" s="548"/>
      <c r="D12" s="548"/>
      <c r="E12" s="548"/>
      <c r="F12" s="548"/>
      <c r="G12" s="548"/>
      <c r="H12" s="548"/>
      <c r="I12" s="548"/>
      <c r="J12" s="548"/>
    </row>
    <row r="13" spans="1:14" s="86" customFormat="1" ht="18.600000000000001" x14ac:dyDescent="0.3">
      <c r="B13" s="536" t="s">
        <v>527</v>
      </c>
      <c r="C13" s="536"/>
      <c r="D13" s="536"/>
      <c r="E13" s="536"/>
      <c r="F13" s="536"/>
      <c r="G13" s="536"/>
      <c r="H13" s="536"/>
      <c r="I13" s="536"/>
      <c r="J13" s="536"/>
    </row>
    <row r="14" spans="1:14" s="86" customFormat="1" ht="15" x14ac:dyDescent="0.3">
      <c r="B14" s="87" t="s">
        <v>528</v>
      </c>
      <c r="C14" s="87" t="s">
        <v>529</v>
      </c>
      <c r="D14" s="4" t="s">
        <v>530</v>
      </c>
      <c r="E14" s="192" t="s">
        <v>531</v>
      </c>
      <c r="F14" s="192" t="s">
        <v>532</v>
      </c>
      <c r="G14" s="4" t="s">
        <v>533</v>
      </c>
      <c r="H14" s="88"/>
      <c r="I14" s="89"/>
    </row>
    <row r="15" spans="1:14" s="86" customFormat="1" ht="15" x14ac:dyDescent="0.3">
      <c r="B15" s="4" t="s">
        <v>534</v>
      </c>
      <c r="C15" s="87"/>
      <c r="D15" s="4">
        <v>994316206</v>
      </c>
      <c r="E15" s="160" t="s">
        <v>58</v>
      </c>
      <c r="F15" s="160" t="s">
        <v>535</v>
      </c>
      <c r="G15" s="366">
        <v>0</v>
      </c>
      <c r="H15" s="88"/>
      <c r="I15" s="89"/>
    </row>
    <row r="16" spans="1:14" s="86" customFormat="1" ht="15" x14ac:dyDescent="0.3">
      <c r="B16" s="86" t="s">
        <v>536</v>
      </c>
      <c r="C16" s="4" t="s">
        <v>537</v>
      </c>
      <c r="D16" s="86" t="s">
        <v>538</v>
      </c>
      <c r="E16" s="160" t="s">
        <v>58</v>
      </c>
      <c r="F16" s="160" t="s">
        <v>535</v>
      </c>
      <c r="G16" s="90">
        <f>1630163683.5</f>
        <v>1630163683.5</v>
      </c>
      <c r="H16" s="89"/>
      <c r="I16" s="4"/>
      <c r="L16" s="88"/>
      <c r="M16" s="88"/>
      <c r="N16" s="88"/>
    </row>
    <row r="17" spans="1:14" s="86" customFormat="1" ht="15" x14ac:dyDescent="0.3">
      <c r="B17" s="86" t="s">
        <v>539</v>
      </c>
      <c r="C17" s="4" t="s">
        <v>537</v>
      </c>
      <c r="D17" s="86" t="s">
        <v>540</v>
      </c>
      <c r="E17" s="160" t="s">
        <v>58</v>
      </c>
      <c r="F17" s="160" t="s">
        <v>535</v>
      </c>
      <c r="G17" s="90">
        <f>299724534.72</f>
        <v>299724534.72000003</v>
      </c>
      <c r="H17" s="89"/>
      <c r="I17" s="4"/>
      <c r="L17" s="89"/>
      <c r="M17" s="89"/>
      <c r="N17" s="89"/>
    </row>
    <row r="18" spans="1:14" s="86" customFormat="1" ht="15" x14ac:dyDescent="0.3">
      <c r="B18" s="86" t="s">
        <v>541</v>
      </c>
      <c r="C18" s="4" t="s">
        <v>537</v>
      </c>
      <c r="D18" s="86" t="s">
        <v>542</v>
      </c>
      <c r="E18" s="160" t="s">
        <v>58</v>
      </c>
      <c r="F18" s="160" t="s">
        <v>535</v>
      </c>
      <c r="G18" s="90">
        <v>602762761.59000003</v>
      </c>
      <c r="H18" s="89"/>
      <c r="I18" s="4"/>
      <c r="L18" s="89"/>
      <c r="M18" s="89"/>
      <c r="N18" s="89"/>
    </row>
    <row r="19" spans="1:14" s="86" customFormat="1" ht="15" x14ac:dyDescent="0.3">
      <c r="B19" s="86" t="s">
        <v>543</v>
      </c>
      <c r="C19" s="4" t="s">
        <v>537</v>
      </c>
      <c r="D19" s="86" t="s">
        <v>544</v>
      </c>
      <c r="E19" s="160" t="s">
        <v>58</v>
      </c>
      <c r="F19" s="160" t="s">
        <v>535</v>
      </c>
      <c r="G19" s="90">
        <f>270887954.18</f>
        <v>270887954.18000001</v>
      </c>
      <c r="H19" s="89"/>
      <c r="I19" s="4"/>
      <c r="L19" s="89"/>
      <c r="M19" s="89"/>
      <c r="N19" s="89"/>
    </row>
    <row r="20" spans="1:14" s="86" customFormat="1" ht="15" x14ac:dyDescent="0.3">
      <c r="B20" s="86" t="s">
        <v>545</v>
      </c>
      <c r="C20" s="4" t="s">
        <v>537</v>
      </c>
      <c r="D20" s="86" t="s">
        <v>546</v>
      </c>
      <c r="E20" s="160" t="s">
        <v>58</v>
      </c>
      <c r="F20" s="160" t="s">
        <v>535</v>
      </c>
      <c r="G20" s="90">
        <v>123638222.68000001</v>
      </c>
      <c r="H20" s="89"/>
      <c r="I20" s="4"/>
      <c r="L20" s="89"/>
      <c r="M20" s="89"/>
      <c r="N20" s="89"/>
    </row>
    <row r="21" spans="1:14" s="86" customFormat="1" ht="15" x14ac:dyDescent="0.3">
      <c r="B21" s="86" t="s">
        <v>547</v>
      </c>
      <c r="C21" s="4" t="s">
        <v>537</v>
      </c>
      <c r="D21" s="86" t="s">
        <v>548</v>
      </c>
      <c r="E21" s="160" t="s">
        <v>58</v>
      </c>
      <c r="F21" s="160" t="s">
        <v>535</v>
      </c>
      <c r="G21" s="90">
        <f>7067387</f>
        <v>7067387</v>
      </c>
      <c r="H21" s="89"/>
      <c r="I21" s="4"/>
      <c r="L21" s="89"/>
      <c r="M21" s="89"/>
      <c r="N21" s="89"/>
    </row>
    <row r="22" spans="1:14" s="86" customFormat="1" ht="15" x14ac:dyDescent="0.3">
      <c r="B22" s="86" t="s">
        <v>549</v>
      </c>
      <c r="C22" s="4" t="s">
        <v>537</v>
      </c>
      <c r="D22" s="86" t="s">
        <v>550</v>
      </c>
      <c r="E22" s="160" t="s">
        <v>58</v>
      </c>
      <c r="F22" s="160" t="s">
        <v>535</v>
      </c>
      <c r="G22" s="90">
        <f>51479518.44</f>
        <v>51479518.439999998</v>
      </c>
      <c r="H22" s="89"/>
      <c r="I22" s="395"/>
      <c r="L22" s="89"/>
      <c r="M22" s="89"/>
      <c r="N22" s="89"/>
    </row>
    <row r="23" spans="1:14" s="86" customFormat="1" ht="15" x14ac:dyDescent="0.3">
      <c r="B23" s="86" t="s">
        <v>551</v>
      </c>
      <c r="C23" s="4" t="s">
        <v>552</v>
      </c>
      <c r="D23" s="86" t="s">
        <v>553</v>
      </c>
      <c r="E23" s="160" t="s">
        <v>58</v>
      </c>
      <c r="F23" s="160" t="s">
        <v>535</v>
      </c>
      <c r="G23" s="90">
        <f>1379113286</f>
        <v>1379113286</v>
      </c>
      <c r="H23" s="89"/>
      <c r="I23" s="4"/>
      <c r="L23" s="89"/>
      <c r="M23" s="89"/>
      <c r="N23" s="89"/>
    </row>
    <row r="24" spans="1:14" s="86" customFormat="1" ht="15" x14ac:dyDescent="0.3">
      <c r="B24" s="4"/>
      <c r="C24" s="4"/>
      <c r="D24" s="4"/>
      <c r="E24" s="160"/>
      <c r="F24" s="160"/>
      <c r="G24" s="90"/>
    </row>
    <row r="25" spans="1:14" s="86" customFormat="1" ht="15" x14ac:dyDescent="0.3">
      <c r="C25" s="4"/>
      <c r="D25" s="91"/>
    </row>
    <row r="26" spans="1:14" s="86" customFormat="1" ht="18.600000000000001" x14ac:dyDescent="0.3">
      <c r="B26" s="536" t="s">
        <v>554</v>
      </c>
      <c r="C26" s="536"/>
      <c r="D26" s="536"/>
      <c r="E26" s="536"/>
      <c r="F26" s="536"/>
      <c r="G26" s="536"/>
      <c r="H26" s="536"/>
      <c r="I26" s="536"/>
      <c r="J26" s="536"/>
    </row>
    <row r="27" spans="1:14" s="86" customFormat="1" ht="15" x14ac:dyDescent="0.3">
      <c r="B27" s="535" t="s">
        <v>555</v>
      </c>
      <c r="C27" s="535"/>
      <c r="D27" s="535"/>
      <c r="E27" s="88"/>
    </row>
    <row r="28" spans="1:14" s="86" customFormat="1" ht="15" x14ac:dyDescent="0.3">
      <c r="B28" s="92" t="s">
        <v>556</v>
      </c>
      <c r="C28" s="93" t="s">
        <v>557</v>
      </c>
      <c r="D28" s="94" t="s">
        <v>558</v>
      </c>
    </row>
    <row r="29" spans="1:14" s="86" customFormat="1" ht="15" x14ac:dyDescent="0.3"/>
    <row r="30" spans="1:14" s="86" customFormat="1" ht="15" x14ac:dyDescent="0.3">
      <c r="B30" s="87" t="s">
        <v>559</v>
      </c>
      <c r="C30" s="87" t="s">
        <v>560</v>
      </c>
      <c r="D30" s="4" t="s">
        <v>561</v>
      </c>
      <c r="E30" s="4" t="s">
        <v>562</v>
      </c>
      <c r="F30" s="4" t="s">
        <v>563</v>
      </c>
      <c r="G30" s="4" t="s">
        <v>564</v>
      </c>
      <c r="H30" s="4" t="s">
        <v>565</v>
      </c>
      <c r="I30" s="160" t="s">
        <v>531</v>
      </c>
      <c r="J30" s="160" t="s">
        <v>532</v>
      </c>
      <c r="K30" s="4" t="s">
        <v>566</v>
      </c>
    </row>
    <row r="31" spans="1:14" s="86" customFormat="1" ht="15.6" x14ac:dyDescent="0.3">
      <c r="A31" s="4"/>
      <c r="B31" s="4" t="s">
        <v>567</v>
      </c>
      <c r="C31" s="4" t="s">
        <v>568</v>
      </c>
      <c r="D31" s="4" t="s">
        <v>569</v>
      </c>
      <c r="E31" s="4" t="s">
        <v>570</v>
      </c>
      <c r="F31" s="4" t="s">
        <v>571</v>
      </c>
      <c r="G31" s="353" t="s">
        <v>572</v>
      </c>
      <c r="H31" s="353" t="s">
        <v>573</v>
      </c>
      <c r="I31" s="160" t="s">
        <v>535</v>
      </c>
      <c r="J31" s="160" t="s">
        <v>535</v>
      </c>
      <c r="K31" s="90">
        <f>663849776</f>
        <v>663849776</v>
      </c>
    </row>
    <row r="32" spans="1:14" s="86" customFormat="1" ht="15.6" x14ac:dyDescent="0.3">
      <c r="A32" s="4"/>
      <c r="B32" s="4" t="s">
        <v>567</v>
      </c>
      <c r="C32" s="4" t="s">
        <v>568</v>
      </c>
      <c r="D32" s="4">
        <v>500004032</v>
      </c>
      <c r="E32" s="4" t="s">
        <v>570</v>
      </c>
      <c r="F32" s="4" t="s">
        <v>571</v>
      </c>
      <c r="G32" s="353"/>
      <c r="H32" s="353"/>
      <c r="I32" s="160" t="s">
        <v>535</v>
      </c>
      <c r="J32" s="160" t="s">
        <v>535</v>
      </c>
      <c r="K32" s="90">
        <f>663849776</f>
        <v>663849776</v>
      </c>
    </row>
    <row r="33" spans="1:15" s="86" customFormat="1" ht="15.6" x14ac:dyDescent="0.3">
      <c r="A33" s="4"/>
      <c r="B33" s="4" t="s">
        <v>574</v>
      </c>
      <c r="C33" s="4" t="s">
        <v>568</v>
      </c>
      <c r="D33" s="4">
        <v>500002800</v>
      </c>
      <c r="E33" s="4" t="s">
        <v>570</v>
      </c>
      <c r="F33" s="4" t="s">
        <v>575</v>
      </c>
      <c r="G33" s="353" t="s">
        <v>576</v>
      </c>
      <c r="H33" s="353" t="s">
        <v>577</v>
      </c>
      <c r="I33" s="160" t="s">
        <v>58</v>
      </c>
      <c r="J33" s="160" t="s">
        <v>58</v>
      </c>
      <c r="K33" s="90">
        <f>1743887.02</f>
        <v>1743887.02</v>
      </c>
    </row>
    <row r="34" spans="1:15" s="86" customFormat="1" ht="15.6" x14ac:dyDescent="0.3">
      <c r="A34" s="4"/>
      <c r="B34" s="4" t="s">
        <v>574</v>
      </c>
      <c r="C34" s="4" t="s">
        <v>568</v>
      </c>
      <c r="D34" s="4">
        <v>500260442</v>
      </c>
      <c r="E34" s="4" t="s">
        <v>570</v>
      </c>
      <c r="F34" s="4"/>
      <c r="G34" s="353"/>
      <c r="H34" s="353"/>
      <c r="I34" s="160" t="s">
        <v>58</v>
      </c>
      <c r="J34" s="160" t="s">
        <v>58</v>
      </c>
      <c r="K34" s="90">
        <f>1743887.02</f>
        <v>1743887.02</v>
      </c>
    </row>
    <row r="35" spans="1:15" s="86" customFormat="1" ht="15.6" x14ac:dyDescent="0.3">
      <c r="A35" s="4"/>
      <c r="B35" s="4" t="s">
        <v>578</v>
      </c>
      <c r="C35" s="4" t="s">
        <v>568</v>
      </c>
      <c r="D35" s="4">
        <v>500048646</v>
      </c>
      <c r="E35" s="4" t="s">
        <v>570</v>
      </c>
      <c r="F35" s="4"/>
      <c r="G35" s="353"/>
      <c r="H35" s="353"/>
      <c r="I35" s="160" t="s">
        <v>58</v>
      </c>
      <c r="J35" s="160" t="s">
        <v>58</v>
      </c>
      <c r="K35" s="90">
        <f>7496854.73</f>
        <v>7496854.7300000004</v>
      </c>
    </row>
    <row r="36" spans="1:15" s="86" customFormat="1" ht="16.5" customHeight="1" x14ac:dyDescent="0.3">
      <c r="A36" s="4"/>
      <c r="B36" s="4" t="s">
        <v>579</v>
      </c>
      <c r="C36" s="4" t="s">
        <v>580</v>
      </c>
      <c r="D36" s="4">
        <v>500037328</v>
      </c>
      <c r="E36" s="4" t="s">
        <v>570</v>
      </c>
      <c r="F36" s="4" t="s">
        <v>575</v>
      </c>
      <c r="G36" s="353" t="s">
        <v>581</v>
      </c>
      <c r="H36" s="353" t="s">
        <v>582</v>
      </c>
      <c r="I36" s="160" t="s">
        <v>58</v>
      </c>
      <c r="J36" s="160" t="s">
        <v>58</v>
      </c>
      <c r="K36" s="90">
        <f>432743131.12</f>
        <v>432743131.12</v>
      </c>
      <c r="O36" s="396"/>
    </row>
    <row r="37" spans="1:15" s="86" customFormat="1" ht="15.6" x14ac:dyDescent="0.3">
      <c r="A37" s="4"/>
      <c r="B37" s="4" t="s">
        <v>583</v>
      </c>
      <c r="C37" s="4" t="s">
        <v>580</v>
      </c>
      <c r="D37" s="4">
        <v>500003612</v>
      </c>
      <c r="E37" s="4" t="s">
        <v>570</v>
      </c>
      <c r="F37" s="4"/>
      <c r="G37" s="353"/>
      <c r="H37" s="353"/>
      <c r="I37" s="160" t="s">
        <v>82</v>
      </c>
      <c r="J37" s="160" t="s">
        <v>58</v>
      </c>
      <c r="K37" s="90">
        <f>166196.7</f>
        <v>166196.70000000001</v>
      </c>
    </row>
    <row r="38" spans="1:15" s="86" customFormat="1" ht="15.6" x14ac:dyDescent="0.3">
      <c r="A38" s="4"/>
      <c r="B38" s="4" t="s">
        <v>584</v>
      </c>
      <c r="C38" s="4" t="s">
        <v>580</v>
      </c>
      <c r="D38" s="4">
        <v>500342388</v>
      </c>
      <c r="E38" s="4" t="s">
        <v>570</v>
      </c>
      <c r="F38" s="4"/>
      <c r="G38" s="353"/>
      <c r="H38" s="353"/>
      <c r="I38" s="160" t="s">
        <v>58</v>
      </c>
      <c r="J38" s="160" t="s">
        <v>58</v>
      </c>
      <c r="K38" s="90">
        <f>3853005.1</f>
        <v>3853005.1</v>
      </c>
    </row>
    <row r="39" spans="1:15" s="86" customFormat="1" ht="15.6" x14ac:dyDescent="0.3">
      <c r="A39" s="4"/>
      <c r="B39" s="4" t="s">
        <v>585</v>
      </c>
      <c r="C39" s="4" t="s">
        <v>580</v>
      </c>
      <c r="D39" s="4">
        <v>500283579</v>
      </c>
      <c r="E39" s="4" t="s">
        <v>570</v>
      </c>
      <c r="F39" s="4"/>
      <c r="G39" s="353"/>
      <c r="H39" s="353"/>
      <c r="I39" s="160" t="s">
        <v>58</v>
      </c>
      <c r="J39" s="160" t="s">
        <v>58</v>
      </c>
      <c r="K39" s="90">
        <f>3715674.03</f>
        <v>3715674.03</v>
      </c>
    </row>
    <row r="40" spans="1:15" s="86" customFormat="1" ht="15.6" x14ac:dyDescent="0.3">
      <c r="A40" s="4"/>
      <c r="B40" s="4" t="s">
        <v>586</v>
      </c>
      <c r="C40" s="4" t="s">
        <v>580</v>
      </c>
      <c r="D40" s="4">
        <v>500284783</v>
      </c>
      <c r="E40" s="4" t="s">
        <v>570</v>
      </c>
      <c r="F40" s="4"/>
      <c r="G40" s="353"/>
      <c r="H40" s="353"/>
      <c r="I40" s="160" t="s">
        <v>58</v>
      </c>
      <c r="J40" s="160" t="s">
        <v>58</v>
      </c>
      <c r="K40" s="90">
        <f>629208.83</f>
        <v>629208.82999999996</v>
      </c>
    </row>
    <row r="41" spans="1:15" s="86" customFormat="1" ht="15.6" x14ac:dyDescent="0.3">
      <c r="A41" s="4"/>
      <c r="B41" s="4" t="s">
        <v>587</v>
      </c>
      <c r="C41" s="4" t="s">
        <v>580</v>
      </c>
      <c r="D41" s="4">
        <v>500283409</v>
      </c>
      <c r="E41" s="4" t="s">
        <v>570</v>
      </c>
      <c r="F41" s="4"/>
      <c r="G41" s="353"/>
      <c r="H41" s="353"/>
      <c r="I41" s="160" t="s">
        <v>58</v>
      </c>
      <c r="J41" s="160" t="s">
        <v>58</v>
      </c>
      <c r="K41" s="90">
        <f>267843.8</f>
        <v>267843.8</v>
      </c>
    </row>
    <row r="42" spans="1:15" s="86" customFormat="1" ht="15.6" x14ac:dyDescent="0.3">
      <c r="A42" s="4"/>
      <c r="B42" s="4" t="s">
        <v>588</v>
      </c>
      <c r="C42" s="4" t="s">
        <v>580</v>
      </c>
      <c r="D42" s="4">
        <v>500342280</v>
      </c>
      <c r="E42" s="4" t="s">
        <v>570</v>
      </c>
      <c r="F42" s="4"/>
      <c r="G42" s="353"/>
      <c r="H42" s="353"/>
      <c r="I42" s="160" t="s">
        <v>58</v>
      </c>
      <c r="J42" s="160" t="s">
        <v>58</v>
      </c>
      <c r="K42" s="90">
        <f>266692.7</f>
        <v>266692.7</v>
      </c>
    </row>
    <row r="43" spans="1:15" s="86" customFormat="1" ht="15.6" x14ac:dyDescent="0.3">
      <c r="A43" s="4"/>
      <c r="B43" s="4" t="s">
        <v>589</v>
      </c>
      <c r="C43" s="4" t="s">
        <v>568</v>
      </c>
      <c r="D43" s="4">
        <v>500063389</v>
      </c>
      <c r="E43" s="4" t="s">
        <v>570</v>
      </c>
      <c r="F43" s="4"/>
      <c r="G43" s="353"/>
      <c r="H43" s="353"/>
      <c r="I43" s="160" t="s">
        <v>58</v>
      </c>
      <c r="J43" s="160" t="s">
        <v>58</v>
      </c>
      <c r="K43" s="90">
        <f>47097474.98</f>
        <v>47097474.979999997</v>
      </c>
    </row>
    <row r="44" spans="1:15" s="86" customFormat="1" ht="15.6" x14ac:dyDescent="0.3">
      <c r="A44" s="4"/>
      <c r="B44" s="4" t="s">
        <v>590</v>
      </c>
      <c r="C44" s="4" t="s">
        <v>568</v>
      </c>
      <c r="D44" s="4">
        <v>500038336</v>
      </c>
      <c r="E44" s="4" t="s">
        <v>570</v>
      </c>
      <c r="F44" s="4"/>
      <c r="G44" s="353"/>
      <c r="H44" s="353"/>
      <c r="I44" s="160" t="s">
        <v>58</v>
      </c>
      <c r="J44" s="160" t="s">
        <v>58</v>
      </c>
      <c r="K44" s="90">
        <f>38779.46</f>
        <v>38779.46</v>
      </c>
    </row>
    <row r="45" spans="1:15" s="86" customFormat="1" ht="15.6" x14ac:dyDescent="0.3">
      <c r="A45" s="4"/>
      <c r="B45" s="4" t="s">
        <v>591</v>
      </c>
      <c r="C45" s="4" t="s">
        <v>568</v>
      </c>
      <c r="D45" s="4">
        <v>500065305</v>
      </c>
      <c r="E45" s="4" t="s">
        <v>570</v>
      </c>
      <c r="F45" s="4"/>
      <c r="G45" s="353"/>
      <c r="H45" s="353"/>
      <c r="I45" s="160" t="s">
        <v>58</v>
      </c>
      <c r="J45" s="160" t="s">
        <v>58</v>
      </c>
      <c r="K45" s="90">
        <f>73729.4</f>
        <v>73729.399999999994</v>
      </c>
    </row>
    <row r="46" spans="1:15" s="86" customFormat="1" ht="15.6" x14ac:dyDescent="0.3">
      <c r="A46" s="4"/>
      <c r="B46" s="4" t="s">
        <v>592</v>
      </c>
      <c r="C46" s="4" t="s">
        <v>568</v>
      </c>
      <c r="D46" s="4">
        <v>500008617</v>
      </c>
      <c r="E46" s="4" t="s">
        <v>570</v>
      </c>
      <c r="F46" s="4"/>
      <c r="G46" s="353"/>
      <c r="H46" s="353"/>
      <c r="I46" s="160" t="s">
        <v>58</v>
      </c>
      <c r="J46" s="160" t="s">
        <v>58</v>
      </c>
      <c r="K46" s="90">
        <f>279209.54</f>
        <v>279209.53999999998</v>
      </c>
    </row>
    <row r="47" spans="1:15" s="86" customFormat="1" ht="15.6" x14ac:dyDescent="0.3">
      <c r="A47" s="4"/>
      <c r="B47" s="4" t="s">
        <v>593</v>
      </c>
      <c r="C47" s="4" t="s">
        <v>568</v>
      </c>
      <c r="D47" s="4">
        <v>500282035</v>
      </c>
      <c r="E47" s="4" t="s">
        <v>570</v>
      </c>
      <c r="F47" s="4"/>
      <c r="G47" s="353"/>
      <c r="H47" s="353"/>
      <c r="I47" s="160" t="s">
        <v>58</v>
      </c>
      <c r="J47" s="160" t="s">
        <v>58</v>
      </c>
      <c r="K47" s="90">
        <f>1112280</f>
        <v>1112280</v>
      </c>
    </row>
    <row r="48" spans="1:15" s="86" customFormat="1" ht="15.6" x14ac:dyDescent="0.3">
      <c r="A48" s="4"/>
      <c r="B48" s="4" t="s">
        <v>594</v>
      </c>
      <c r="C48" s="4" t="s">
        <v>568</v>
      </c>
      <c r="D48" s="4">
        <v>500284499</v>
      </c>
      <c r="E48" s="4" t="s">
        <v>570</v>
      </c>
      <c r="F48" s="4"/>
      <c r="G48" s="353"/>
      <c r="H48" s="353"/>
      <c r="I48" s="160" t="s">
        <v>58</v>
      </c>
      <c r="J48" s="160" t="s">
        <v>58</v>
      </c>
      <c r="K48" s="90">
        <f>12198139.52</f>
        <v>12198139.52</v>
      </c>
    </row>
    <row r="49" spans="1:11" s="86" customFormat="1" ht="15.6" x14ac:dyDescent="0.3">
      <c r="A49" s="4"/>
      <c r="B49" s="4" t="s">
        <v>595</v>
      </c>
      <c r="C49" s="4" t="s">
        <v>568</v>
      </c>
      <c r="D49" s="4">
        <v>500009028</v>
      </c>
      <c r="E49" s="4" t="s">
        <v>570</v>
      </c>
      <c r="F49" s="4" t="s">
        <v>575</v>
      </c>
      <c r="G49" s="353" t="s">
        <v>596</v>
      </c>
      <c r="H49" s="353" t="s">
        <v>597</v>
      </c>
      <c r="I49" s="160" t="s">
        <v>535</v>
      </c>
      <c r="J49" s="160" t="s">
        <v>535</v>
      </c>
      <c r="K49" s="90">
        <f>184814150</f>
        <v>184814150</v>
      </c>
    </row>
    <row r="50" spans="1:11" s="86" customFormat="1" ht="15.6" x14ac:dyDescent="0.3">
      <c r="A50" s="4"/>
      <c r="B50" s="4" t="s">
        <v>595</v>
      </c>
      <c r="C50" s="4" t="s">
        <v>568</v>
      </c>
      <c r="D50" s="4">
        <v>500244844</v>
      </c>
      <c r="E50" s="4" t="s">
        <v>570</v>
      </c>
      <c r="F50" s="4" t="s">
        <v>575</v>
      </c>
      <c r="G50" s="353" t="s">
        <v>596</v>
      </c>
      <c r="H50" s="353" t="s">
        <v>597</v>
      </c>
      <c r="I50" s="160" t="s">
        <v>535</v>
      </c>
      <c r="J50" s="160" t="s">
        <v>535</v>
      </c>
      <c r="K50" s="90">
        <f t="shared" ref="K50:K54" si="0">184814150</f>
        <v>184814150</v>
      </c>
    </row>
    <row r="51" spans="1:11" s="86" customFormat="1" ht="15.6" x14ac:dyDescent="0.3">
      <c r="A51" s="4"/>
      <c r="B51" s="4" t="s">
        <v>595</v>
      </c>
      <c r="C51" s="4" t="s">
        <v>568</v>
      </c>
      <c r="D51" s="4">
        <v>500220085</v>
      </c>
      <c r="E51" s="4" t="s">
        <v>570</v>
      </c>
      <c r="F51" s="4" t="s">
        <v>575</v>
      </c>
      <c r="G51" s="353" t="s">
        <v>596</v>
      </c>
      <c r="H51" s="353" t="s">
        <v>597</v>
      </c>
      <c r="I51" s="160" t="s">
        <v>535</v>
      </c>
      <c r="J51" s="160" t="s">
        <v>535</v>
      </c>
      <c r="K51" s="90">
        <f t="shared" si="0"/>
        <v>184814150</v>
      </c>
    </row>
    <row r="52" spans="1:11" s="86" customFormat="1" ht="15.6" x14ac:dyDescent="0.3">
      <c r="A52" s="4"/>
      <c r="B52" s="4" t="s">
        <v>595</v>
      </c>
      <c r="C52" s="4" t="s">
        <v>568</v>
      </c>
      <c r="D52" s="4">
        <v>500003701</v>
      </c>
      <c r="E52" s="4" t="s">
        <v>570</v>
      </c>
      <c r="F52" s="4" t="s">
        <v>575</v>
      </c>
      <c r="G52" s="353" t="s">
        <v>596</v>
      </c>
      <c r="H52" s="353" t="s">
        <v>597</v>
      </c>
      <c r="I52" s="160" t="s">
        <v>535</v>
      </c>
      <c r="J52" s="160" t="s">
        <v>535</v>
      </c>
      <c r="K52" s="90">
        <f t="shared" si="0"/>
        <v>184814150</v>
      </c>
    </row>
    <row r="53" spans="1:11" s="86" customFormat="1" ht="15.6" x14ac:dyDescent="0.3">
      <c r="A53" s="4"/>
      <c r="B53" s="4" t="s">
        <v>595</v>
      </c>
      <c r="C53" s="4" t="s">
        <v>568</v>
      </c>
      <c r="D53" s="4">
        <v>500220478</v>
      </c>
      <c r="E53" s="4" t="s">
        <v>570</v>
      </c>
      <c r="F53" s="4" t="s">
        <v>575</v>
      </c>
      <c r="G53" s="353"/>
      <c r="H53" s="353"/>
      <c r="I53" s="160" t="s">
        <v>535</v>
      </c>
      <c r="J53" s="160" t="s">
        <v>535</v>
      </c>
      <c r="K53" s="90">
        <f t="shared" si="0"/>
        <v>184814150</v>
      </c>
    </row>
    <row r="54" spans="1:11" s="86" customFormat="1" ht="15.6" x14ac:dyDescent="0.3">
      <c r="A54" s="4"/>
      <c r="B54" s="4" t="s">
        <v>595</v>
      </c>
      <c r="C54" s="4" t="s">
        <v>568</v>
      </c>
      <c r="D54" s="4">
        <v>500221627</v>
      </c>
      <c r="E54" s="4" t="s">
        <v>570</v>
      </c>
      <c r="F54" s="4" t="s">
        <v>575</v>
      </c>
      <c r="G54" s="353"/>
      <c r="H54" s="353"/>
      <c r="I54" s="160" t="s">
        <v>535</v>
      </c>
      <c r="J54" s="160" t="s">
        <v>535</v>
      </c>
      <c r="K54" s="90">
        <f t="shared" si="0"/>
        <v>184814150</v>
      </c>
    </row>
    <row r="55" spans="1:11" s="86" customFormat="1" ht="15.6" x14ac:dyDescent="0.3">
      <c r="A55" s="4"/>
      <c r="B55" s="4" t="s">
        <v>595</v>
      </c>
      <c r="C55" s="4" t="s">
        <v>568</v>
      </c>
      <c r="D55" s="4">
        <v>500027589</v>
      </c>
      <c r="E55" s="4" t="s">
        <v>570</v>
      </c>
      <c r="F55" s="4" t="s">
        <v>575</v>
      </c>
      <c r="G55" s="353"/>
      <c r="H55" s="353"/>
      <c r="I55" s="160" t="s">
        <v>82</v>
      </c>
      <c r="J55" s="160" t="s">
        <v>535</v>
      </c>
      <c r="K55" s="90">
        <f>77851698.45</f>
        <v>77851698.450000003</v>
      </c>
    </row>
    <row r="56" spans="1:11" s="86" customFormat="1" ht="15.6" x14ac:dyDescent="0.3">
      <c r="A56" s="4"/>
      <c r="B56" s="4" t="s">
        <v>598</v>
      </c>
      <c r="C56" s="4" t="s">
        <v>568</v>
      </c>
      <c r="D56" s="4">
        <v>500285229</v>
      </c>
      <c r="E56" s="4" t="s">
        <v>570</v>
      </c>
      <c r="F56" s="4" t="s">
        <v>575</v>
      </c>
      <c r="G56" s="353"/>
      <c r="H56" s="353"/>
      <c r="I56" s="160" t="s">
        <v>58</v>
      </c>
      <c r="J56" s="160" t="s">
        <v>58</v>
      </c>
      <c r="K56" s="90">
        <f>34559</f>
        <v>34559</v>
      </c>
    </row>
    <row r="57" spans="1:11" s="86" customFormat="1" ht="15.6" x14ac:dyDescent="0.3">
      <c r="A57" s="4"/>
      <c r="B57" s="4" t="s">
        <v>599</v>
      </c>
      <c r="C57" s="4" t="s">
        <v>568</v>
      </c>
      <c r="D57" s="4">
        <v>500001455</v>
      </c>
      <c r="E57" s="4" t="s">
        <v>570</v>
      </c>
      <c r="F57" s="4"/>
      <c r="G57" s="353"/>
      <c r="H57" s="353"/>
      <c r="I57" s="160" t="s">
        <v>58</v>
      </c>
      <c r="J57" s="160" t="s">
        <v>58</v>
      </c>
      <c r="K57" s="90">
        <f>6787.33</f>
        <v>6787.33</v>
      </c>
    </row>
    <row r="58" spans="1:11" s="86" customFormat="1" ht="15.6" x14ac:dyDescent="0.3">
      <c r="A58" s="4"/>
      <c r="B58" s="4" t="s">
        <v>599</v>
      </c>
      <c r="C58" s="4" t="s">
        <v>568</v>
      </c>
      <c r="D58" s="4">
        <v>500274268</v>
      </c>
      <c r="E58" s="4" t="s">
        <v>570</v>
      </c>
      <c r="F58" s="4"/>
      <c r="G58" s="353"/>
      <c r="H58" s="353"/>
      <c r="I58" s="160" t="s">
        <v>58</v>
      </c>
      <c r="J58" s="160" t="s">
        <v>58</v>
      </c>
      <c r="K58" s="90">
        <f>6787.33</f>
        <v>6787.33</v>
      </c>
    </row>
    <row r="59" spans="1:11" s="86" customFormat="1" ht="15.6" x14ac:dyDescent="0.3">
      <c r="A59" s="4"/>
      <c r="B59" s="4" t="s">
        <v>600</v>
      </c>
      <c r="C59" s="4" t="s">
        <v>568</v>
      </c>
      <c r="D59" s="4">
        <v>500282142</v>
      </c>
      <c r="E59" s="4" t="s">
        <v>570</v>
      </c>
      <c r="F59" s="4"/>
      <c r="G59" s="353"/>
      <c r="H59" s="353"/>
      <c r="I59" s="160" t="s">
        <v>58</v>
      </c>
      <c r="J59" s="160" t="s">
        <v>58</v>
      </c>
      <c r="K59" s="90">
        <f>2832439.63</f>
        <v>2832439.63</v>
      </c>
    </row>
    <row r="60" spans="1:11" s="86" customFormat="1" ht="15.6" x14ac:dyDescent="0.3">
      <c r="A60" s="4"/>
      <c r="B60" s="4" t="s">
        <v>600</v>
      </c>
      <c r="C60" s="4" t="s">
        <v>568</v>
      </c>
      <c r="D60" s="4">
        <v>500281875</v>
      </c>
      <c r="E60" s="4" t="s">
        <v>570</v>
      </c>
      <c r="F60" s="4"/>
      <c r="G60" s="353"/>
      <c r="H60" s="353"/>
      <c r="I60" s="160" t="s">
        <v>58</v>
      </c>
      <c r="J60" s="160" t="s">
        <v>58</v>
      </c>
      <c r="K60" s="90">
        <f>2832439.63</f>
        <v>2832439.63</v>
      </c>
    </row>
    <row r="61" spans="1:11" s="86" customFormat="1" ht="15.6" x14ac:dyDescent="0.3">
      <c r="A61" s="4"/>
      <c r="B61" s="4" t="s">
        <v>600</v>
      </c>
      <c r="C61" s="4" t="s">
        <v>568</v>
      </c>
      <c r="D61" s="4">
        <v>500281884</v>
      </c>
      <c r="E61" s="4" t="s">
        <v>570</v>
      </c>
      <c r="F61" s="4"/>
      <c r="G61" s="353"/>
      <c r="H61" s="353"/>
      <c r="I61" s="160" t="s">
        <v>58</v>
      </c>
      <c r="J61" s="160" t="s">
        <v>58</v>
      </c>
      <c r="K61" s="90">
        <f>2832439.63</f>
        <v>2832439.63</v>
      </c>
    </row>
    <row r="62" spans="1:11" s="86" customFormat="1" ht="15.6" x14ac:dyDescent="0.3">
      <c r="A62" s="4"/>
      <c r="B62" s="4" t="s">
        <v>600</v>
      </c>
      <c r="C62" s="4" t="s">
        <v>568</v>
      </c>
      <c r="D62" s="4">
        <v>500282160</v>
      </c>
      <c r="E62" s="4" t="s">
        <v>570</v>
      </c>
      <c r="F62" s="4"/>
      <c r="G62" s="353"/>
      <c r="H62" s="353"/>
      <c r="I62" s="160" t="s">
        <v>58</v>
      </c>
      <c r="J62" s="160" t="s">
        <v>58</v>
      </c>
      <c r="K62" s="90">
        <f>2832439.63</f>
        <v>2832439.63</v>
      </c>
    </row>
    <row r="63" spans="1:11" s="86" customFormat="1" ht="15.6" x14ac:dyDescent="0.3">
      <c r="A63" s="4"/>
      <c r="B63" s="4" t="s">
        <v>601</v>
      </c>
      <c r="C63" s="4" t="s">
        <v>568</v>
      </c>
      <c r="D63" s="4">
        <v>500000072</v>
      </c>
      <c r="E63" s="4" t="s">
        <v>570</v>
      </c>
      <c r="F63" s="4"/>
      <c r="G63" s="353"/>
      <c r="H63" s="353"/>
      <c r="I63" s="160" t="s">
        <v>58</v>
      </c>
      <c r="J63" s="160" t="s">
        <v>58</v>
      </c>
      <c r="K63" s="90">
        <f>1034222.49</f>
        <v>1034222.49</v>
      </c>
    </row>
    <row r="64" spans="1:11" s="86" customFormat="1" ht="15.6" x14ac:dyDescent="0.3">
      <c r="A64" s="4"/>
      <c r="B64" s="4" t="s">
        <v>601</v>
      </c>
      <c r="C64" s="4" t="s">
        <v>568</v>
      </c>
      <c r="D64" s="4">
        <v>500261389</v>
      </c>
      <c r="E64" s="4" t="s">
        <v>570</v>
      </c>
      <c r="F64" s="4"/>
      <c r="G64" s="353"/>
      <c r="H64" s="353"/>
      <c r="I64" s="160" t="s">
        <v>58</v>
      </c>
      <c r="J64" s="160" t="s">
        <v>58</v>
      </c>
      <c r="K64" s="90">
        <f>1034222.49</f>
        <v>1034222.49</v>
      </c>
    </row>
    <row r="65" spans="1:11" s="86" customFormat="1" ht="15.6" x14ac:dyDescent="0.3">
      <c r="A65" s="4"/>
      <c r="B65" s="4" t="s">
        <v>602</v>
      </c>
      <c r="C65" s="4" t="s">
        <v>568</v>
      </c>
      <c r="D65" s="4">
        <v>500286086</v>
      </c>
      <c r="E65" s="4" t="s">
        <v>570</v>
      </c>
      <c r="F65" s="4"/>
      <c r="G65" s="353"/>
      <c r="H65" s="353"/>
      <c r="I65" s="160" t="s">
        <v>58</v>
      </c>
      <c r="J65" s="160" t="s">
        <v>58</v>
      </c>
      <c r="K65" s="90">
        <f>587289.73</f>
        <v>587289.73</v>
      </c>
    </row>
    <row r="66" spans="1:11" s="86" customFormat="1" ht="15.6" x14ac:dyDescent="0.3">
      <c r="A66" s="4"/>
      <c r="B66" s="4" t="s">
        <v>602</v>
      </c>
      <c r="C66" s="4" t="s">
        <v>568</v>
      </c>
      <c r="D66" s="4">
        <v>500286095</v>
      </c>
      <c r="E66" s="4" t="s">
        <v>570</v>
      </c>
      <c r="F66" s="4"/>
      <c r="G66" s="353"/>
      <c r="H66" s="353"/>
      <c r="I66" s="160" t="s">
        <v>58</v>
      </c>
      <c r="J66" s="160" t="s">
        <v>58</v>
      </c>
      <c r="K66" s="90">
        <f>587289.73</f>
        <v>587289.73</v>
      </c>
    </row>
    <row r="67" spans="1:11" ht="15.6" x14ac:dyDescent="0.3">
      <c r="B67" s="4" t="s">
        <v>602</v>
      </c>
      <c r="C67" s="4" t="s">
        <v>568</v>
      </c>
      <c r="D67" s="4">
        <v>500284701</v>
      </c>
      <c r="E67" s="4" t="s">
        <v>570</v>
      </c>
      <c r="G67" s="353"/>
      <c r="H67" s="353"/>
      <c r="I67" s="160" t="s">
        <v>82</v>
      </c>
      <c r="J67" s="160" t="s">
        <v>58</v>
      </c>
      <c r="K67" s="90">
        <f>72938.47</f>
        <v>72938.47</v>
      </c>
    </row>
    <row r="68" spans="1:11" s="86" customFormat="1" ht="15.6" x14ac:dyDescent="0.3">
      <c r="A68" s="4"/>
      <c r="B68" s="4" t="s">
        <v>603</v>
      </c>
      <c r="C68" s="4" t="s">
        <v>568</v>
      </c>
      <c r="D68" s="4">
        <v>500283472</v>
      </c>
      <c r="E68" s="4" t="s">
        <v>570</v>
      </c>
      <c r="F68" s="4"/>
      <c r="G68" s="353"/>
      <c r="H68" s="353"/>
      <c r="I68" s="160" t="s">
        <v>58</v>
      </c>
      <c r="J68" s="160" t="s">
        <v>58</v>
      </c>
      <c r="K68" s="90">
        <f>9829528.31</f>
        <v>9829528.3100000005</v>
      </c>
    </row>
    <row r="69" spans="1:11" s="86" customFormat="1" ht="15.6" x14ac:dyDescent="0.3">
      <c r="A69" s="4"/>
      <c r="B69" s="4" t="s">
        <v>604</v>
      </c>
      <c r="C69" s="4" t="s">
        <v>568</v>
      </c>
      <c r="D69" s="4">
        <v>500007574</v>
      </c>
      <c r="E69" s="4" t="s">
        <v>570</v>
      </c>
      <c r="F69" s="4"/>
      <c r="G69" s="353"/>
      <c r="H69" s="353"/>
      <c r="I69" s="160" t="s">
        <v>58</v>
      </c>
      <c r="J69" s="160" t="s">
        <v>58</v>
      </c>
      <c r="K69" s="90">
        <f>605868.01</f>
        <v>605868.01</v>
      </c>
    </row>
    <row r="70" spans="1:11" ht="15.6" x14ac:dyDescent="0.3">
      <c r="B70" s="4" t="s">
        <v>605</v>
      </c>
      <c r="C70" s="4" t="s">
        <v>568</v>
      </c>
      <c r="D70" s="4">
        <v>500007672</v>
      </c>
      <c r="E70" s="4" t="s">
        <v>570</v>
      </c>
      <c r="G70" s="353"/>
      <c r="H70" s="353"/>
      <c r="I70" s="160" t="s">
        <v>58</v>
      </c>
      <c r="J70" s="160" t="s">
        <v>58</v>
      </c>
      <c r="K70" s="90">
        <f>861695.86</f>
        <v>861695.86</v>
      </c>
    </row>
    <row r="71" spans="1:11" s="86" customFormat="1" ht="15.6" x14ac:dyDescent="0.3">
      <c r="A71" s="4"/>
      <c r="B71" s="4" t="s">
        <v>606</v>
      </c>
      <c r="C71" s="4" t="s">
        <v>568</v>
      </c>
      <c r="D71" s="4">
        <v>500283267</v>
      </c>
      <c r="E71" s="4" t="s">
        <v>570</v>
      </c>
      <c r="F71" s="4"/>
      <c r="G71" s="353" t="s">
        <v>607</v>
      </c>
      <c r="H71" s="353" t="s">
        <v>608</v>
      </c>
      <c r="I71" s="160" t="s">
        <v>82</v>
      </c>
      <c r="J71" s="160" t="s">
        <v>58</v>
      </c>
      <c r="K71" s="90">
        <f>38830</f>
        <v>38830</v>
      </c>
    </row>
    <row r="72" spans="1:11" ht="15.6" x14ac:dyDescent="0.3">
      <c r="B72" s="4" t="s">
        <v>609</v>
      </c>
      <c r="C72" s="4" t="s">
        <v>568</v>
      </c>
      <c r="D72" s="4">
        <v>500051686</v>
      </c>
      <c r="E72" s="4" t="s">
        <v>570</v>
      </c>
      <c r="G72" s="353" t="s">
        <v>610</v>
      </c>
      <c r="H72" s="353" t="s">
        <v>611</v>
      </c>
      <c r="I72" s="160" t="s">
        <v>58</v>
      </c>
      <c r="J72" s="160" t="s">
        <v>58</v>
      </c>
      <c r="K72" s="90">
        <v>13053720</v>
      </c>
    </row>
    <row r="73" spans="1:11" s="86" customFormat="1" ht="15.6" x14ac:dyDescent="0.3">
      <c r="A73" s="4"/>
      <c r="B73" s="4" t="s">
        <v>612</v>
      </c>
      <c r="C73" s="4" t="s">
        <v>568</v>
      </c>
      <c r="D73" s="4">
        <v>500004050</v>
      </c>
      <c r="E73" s="4" t="s">
        <v>613</v>
      </c>
      <c r="F73" s="4" t="s">
        <v>614</v>
      </c>
      <c r="G73" s="353" t="s">
        <v>615</v>
      </c>
      <c r="H73" s="353" t="s">
        <v>616</v>
      </c>
      <c r="I73" s="160" t="s">
        <v>535</v>
      </c>
      <c r="J73" s="160" t="s">
        <v>535</v>
      </c>
      <c r="K73" s="90">
        <f>279604801</f>
        <v>279604801</v>
      </c>
    </row>
    <row r="74" spans="1:11" s="86" customFormat="1" ht="15.6" x14ac:dyDescent="0.3">
      <c r="A74" s="4"/>
      <c r="B74" s="4" t="s">
        <v>617</v>
      </c>
      <c r="C74" s="4" t="s">
        <v>580</v>
      </c>
      <c r="D74" s="4">
        <v>500001598</v>
      </c>
      <c r="E74" s="4" t="s">
        <v>613</v>
      </c>
      <c r="F74" s="4" t="s">
        <v>614</v>
      </c>
      <c r="G74" s="353"/>
      <c r="H74" s="353"/>
      <c r="I74" s="160" t="s">
        <v>58</v>
      </c>
      <c r="J74" s="160" t="s">
        <v>58</v>
      </c>
      <c r="K74" s="90">
        <f>13064569.73</f>
        <v>13064569.73</v>
      </c>
    </row>
    <row r="75" spans="1:11" ht="15.6" x14ac:dyDescent="0.3">
      <c r="B75" s="4" t="s">
        <v>618</v>
      </c>
      <c r="C75" s="4" t="s">
        <v>568</v>
      </c>
      <c r="D75" s="4">
        <v>500016519</v>
      </c>
      <c r="E75" s="4" t="s">
        <v>613</v>
      </c>
      <c r="F75" s="4" t="s">
        <v>619</v>
      </c>
      <c r="G75" s="353" t="s">
        <v>620</v>
      </c>
      <c r="H75" s="353" t="s">
        <v>621</v>
      </c>
      <c r="I75" s="160" t="s">
        <v>58</v>
      </c>
      <c r="J75" s="160" t="s">
        <v>58</v>
      </c>
      <c r="K75" s="90">
        <f>23001185.77</f>
        <v>23001185.77</v>
      </c>
    </row>
    <row r="76" spans="1:11" ht="15.6" x14ac:dyDescent="0.3">
      <c r="B76" s="4" t="s">
        <v>622</v>
      </c>
      <c r="C76" s="4" t="s">
        <v>568</v>
      </c>
      <c r="D76" s="4">
        <v>500000303</v>
      </c>
      <c r="E76" s="4" t="s">
        <v>613</v>
      </c>
      <c r="F76" s="4" t="s">
        <v>614</v>
      </c>
      <c r="G76" s="353" t="s">
        <v>623</v>
      </c>
      <c r="H76" s="353" t="s">
        <v>624</v>
      </c>
      <c r="I76" s="160" t="s">
        <v>535</v>
      </c>
      <c r="J76" s="160" t="s">
        <v>535</v>
      </c>
      <c r="K76" s="90">
        <f>235105571</f>
        <v>235105571</v>
      </c>
    </row>
    <row r="77" spans="1:11" ht="16.5" customHeight="1" x14ac:dyDescent="0.3">
      <c r="B77" s="4" t="s">
        <v>625</v>
      </c>
      <c r="C77" s="4" t="s">
        <v>568</v>
      </c>
      <c r="D77" s="4">
        <v>500007798</v>
      </c>
      <c r="E77" s="4" t="s">
        <v>613</v>
      </c>
      <c r="F77" s="4" t="s">
        <v>626</v>
      </c>
      <c r="G77" s="353" t="s">
        <v>627</v>
      </c>
      <c r="H77" s="353" t="s">
        <v>628</v>
      </c>
      <c r="I77" s="160" t="s">
        <v>58</v>
      </c>
      <c r="J77" s="160" t="s">
        <v>58</v>
      </c>
      <c r="K77" s="90">
        <f>81739653.97</f>
        <v>81739653.969999999</v>
      </c>
    </row>
    <row r="78" spans="1:11" ht="15.6" x14ac:dyDescent="0.3">
      <c r="B78" s="4" t="s">
        <v>629</v>
      </c>
      <c r="C78" s="4" t="s">
        <v>568</v>
      </c>
      <c r="D78" s="4">
        <v>500067385</v>
      </c>
      <c r="E78" s="4" t="s">
        <v>613</v>
      </c>
      <c r="F78" s="4" t="s">
        <v>614</v>
      </c>
      <c r="G78" s="353" t="s">
        <v>630</v>
      </c>
      <c r="H78" s="353" t="s">
        <v>631</v>
      </c>
      <c r="I78" s="160" t="s">
        <v>58</v>
      </c>
      <c r="J78" s="160" t="s">
        <v>58</v>
      </c>
      <c r="K78" s="90">
        <f>42443669.05</f>
        <v>42443669.049999997</v>
      </c>
    </row>
    <row r="79" spans="1:11" ht="15.6" x14ac:dyDescent="0.3">
      <c r="B79" s="4" t="s">
        <v>632</v>
      </c>
      <c r="C79" s="4" t="s">
        <v>568</v>
      </c>
      <c r="D79" s="4">
        <v>500000722</v>
      </c>
      <c r="E79" s="4" t="s">
        <v>613</v>
      </c>
      <c r="F79" s="4" t="s">
        <v>614</v>
      </c>
      <c r="G79" s="353" t="s">
        <v>633</v>
      </c>
      <c r="H79" s="353" t="s">
        <v>634</v>
      </c>
      <c r="I79" s="160" t="s">
        <v>58</v>
      </c>
      <c r="J79" s="160" t="s">
        <v>58</v>
      </c>
      <c r="K79" s="90">
        <f>24644341.15</f>
        <v>24644341.149999999</v>
      </c>
    </row>
    <row r="80" spans="1:11" ht="15.6" x14ac:dyDescent="0.3">
      <c r="B80" s="4" t="s">
        <v>635</v>
      </c>
      <c r="C80" s="4" t="s">
        <v>568</v>
      </c>
      <c r="D80" s="4">
        <v>500002169</v>
      </c>
      <c r="E80" s="4" t="s">
        <v>613</v>
      </c>
      <c r="G80" s="353"/>
      <c r="H80" s="353"/>
      <c r="I80" s="160" t="s">
        <v>58</v>
      </c>
      <c r="J80" s="160" t="s">
        <v>58</v>
      </c>
      <c r="K80" s="90">
        <f>1305187.98</f>
        <v>1305187.98</v>
      </c>
    </row>
    <row r="81" spans="1:14" ht="15.6" x14ac:dyDescent="0.3">
      <c r="B81" s="4" t="s">
        <v>636</v>
      </c>
      <c r="C81" s="4" t="s">
        <v>568</v>
      </c>
      <c r="D81" s="4">
        <v>500261450</v>
      </c>
      <c r="E81" s="4" t="s">
        <v>613</v>
      </c>
      <c r="G81" s="353"/>
      <c r="H81" s="353"/>
      <c r="I81" s="160" t="s">
        <v>58</v>
      </c>
      <c r="J81" s="160" t="s">
        <v>58</v>
      </c>
      <c r="K81" s="90">
        <f>9231969.1</f>
        <v>9231969.0999999996</v>
      </c>
    </row>
    <row r="82" spans="1:14" ht="15.6" x14ac:dyDescent="0.3">
      <c r="B82" s="4" t="s">
        <v>637</v>
      </c>
      <c r="C82" s="4" t="s">
        <v>580</v>
      </c>
      <c r="D82" s="4">
        <v>500000321</v>
      </c>
      <c r="E82" s="4" t="s">
        <v>613</v>
      </c>
      <c r="F82" s="4" t="s">
        <v>619</v>
      </c>
      <c r="G82" s="353" t="s">
        <v>638</v>
      </c>
      <c r="H82" s="353" t="s">
        <v>639</v>
      </c>
      <c r="I82" s="160" t="s">
        <v>535</v>
      </c>
      <c r="J82" s="160" t="s">
        <v>535</v>
      </c>
      <c r="K82" s="90">
        <f>335743409.9</f>
        <v>335743409.89999998</v>
      </c>
      <c r="N82" s="397"/>
    </row>
    <row r="83" spans="1:14" ht="15.6" x14ac:dyDescent="0.3">
      <c r="B83" s="4" t="s">
        <v>640</v>
      </c>
      <c r="C83" s="4" t="s">
        <v>580</v>
      </c>
      <c r="D83" s="4">
        <v>500108796</v>
      </c>
      <c r="E83" s="4" t="s">
        <v>613</v>
      </c>
      <c r="F83" s="4" t="s">
        <v>619</v>
      </c>
      <c r="G83" s="353"/>
      <c r="H83" s="353"/>
      <c r="I83" s="160" t="s">
        <v>535</v>
      </c>
      <c r="J83" s="160" t="s">
        <v>535</v>
      </c>
      <c r="K83" s="90">
        <f>469455.24</f>
        <v>469455.24</v>
      </c>
    </row>
    <row r="84" spans="1:14" s="86" customFormat="1" ht="15.6" x14ac:dyDescent="0.3">
      <c r="A84" s="4"/>
      <c r="B84" s="4" t="s">
        <v>641</v>
      </c>
      <c r="C84" s="4" t="s">
        <v>580</v>
      </c>
      <c r="D84" s="4">
        <v>500049734</v>
      </c>
      <c r="E84" s="4" t="s">
        <v>613</v>
      </c>
      <c r="F84" s="4" t="s">
        <v>619</v>
      </c>
      <c r="G84" s="353"/>
      <c r="H84" s="353"/>
      <c r="I84" s="160" t="s">
        <v>535</v>
      </c>
      <c r="J84" s="160" t="s">
        <v>535</v>
      </c>
      <c r="K84" s="90">
        <f>60133148.04</f>
        <v>60133148.039999999</v>
      </c>
    </row>
    <row r="85" spans="1:14" ht="15.6" x14ac:dyDescent="0.3">
      <c r="B85" s="4" t="s">
        <v>642</v>
      </c>
      <c r="C85" s="4" t="s">
        <v>580</v>
      </c>
      <c r="D85" s="4" t="s">
        <v>643</v>
      </c>
      <c r="E85" s="4" t="s">
        <v>613</v>
      </c>
      <c r="F85" s="4" t="s">
        <v>619</v>
      </c>
      <c r="G85" s="353"/>
      <c r="H85" s="353"/>
      <c r="I85" s="160" t="s">
        <v>535</v>
      </c>
      <c r="J85" s="160" t="s">
        <v>535</v>
      </c>
      <c r="K85" s="90">
        <f>45099861.03</f>
        <v>45099861.030000001</v>
      </c>
    </row>
    <row r="86" spans="1:14" ht="15.6" x14ac:dyDescent="0.3">
      <c r="B86" s="4" t="s">
        <v>644</v>
      </c>
      <c r="C86" s="4" t="s">
        <v>580</v>
      </c>
      <c r="D86" s="4" t="s">
        <v>645</v>
      </c>
      <c r="E86" s="4" t="s">
        <v>613</v>
      </c>
      <c r="F86" s="4" t="s">
        <v>619</v>
      </c>
      <c r="G86" s="353"/>
      <c r="H86" s="353"/>
      <c r="I86" s="160" t="s">
        <v>535</v>
      </c>
      <c r="J86" s="160" t="s">
        <v>535</v>
      </c>
      <c r="K86" s="90">
        <f>60133148.04</f>
        <v>60133148.039999999</v>
      </c>
    </row>
    <row r="87" spans="1:14" ht="15.6" x14ac:dyDescent="0.3">
      <c r="B87" s="4" t="s">
        <v>646</v>
      </c>
      <c r="C87" s="4" t="s">
        <v>580</v>
      </c>
      <c r="D87" s="4">
        <v>500004023</v>
      </c>
      <c r="E87" s="4" t="s">
        <v>613</v>
      </c>
      <c r="F87" s="4" t="s">
        <v>619</v>
      </c>
      <c r="G87" s="353"/>
      <c r="H87" s="353"/>
      <c r="I87" s="160" t="s">
        <v>58</v>
      </c>
      <c r="J87" s="160" t="s">
        <v>58</v>
      </c>
      <c r="K87" s="90">
        <f>1187706.97</f>
        <v>1187706.97</v>
      </c>
    </row>
    <row r="88" spans="1:14" ht="15.6" x14ac:dyDescent="0.3">
      <c r="B88" s="4" t="s">
        <v>647</v>
      </c>
      <c r="C88" s="4" t="s">
        <v>568</v>
      </c>
      <c r="D88" s="4">
        <v>500002846</v>
      </c>
      <c r="E88" s="4" t="s">
        <v>613</v>
      </c>
      <c r="G88" s="353"/>
      <c r="H88" s="353"/>
      <c r="I88" s="160" t="s">
        <v>82</v>
      </c>
      <c r="J88" s="160" t="s">
        <v>82</v>
      </c>
      <c r="K88" s="90">
        <f>1790532.41</f>
        <v>1790532.41</v>
      </c>
    </row>
    <row r="89" spans="1:14" ht="15.6" x14ac:dyDescent="0.3">
      <c r="B89" s="86"/>
      <c r="G89" s="353"/>
      <c r="H89" s="353"/>
      <c r="I89" s="160"/>
      <c r="J89" s="160"/>
      <c r="K89" s="91"/>
    </row>
    <row r="90" spans="1:14" ht="15" x14ac:dyDescent="0.3">
      <c r="B90" s="86"/>
      <c r="D90" s="86"/>
      <c r="E90" s="86"/>
      <c r="F90" s="95"/>
      <c r="G90" s="95"/>
      <c r="H90" s="86"/>
      <c r="I90" s="86"/>
      <c r="J90" s="86"/>
      <c r="K90" s="86"/>
    </row>
    <row r="91" spans="1:14" ht="18.600000000000001" x14ac:dyDescent="0.3">
      <c r="B91" s="536" t="s">
        <v>648</v>
      </c>
      <c r="C91" s="536"/>
      <c r="D91" s="536"/>
      <c r="E91" s="536"/>
      <c r="F91" s="536"/>
      <c r="G91" s="536"/>
      <c r="H91" s="536"/>
      <c r="I91" s="536"/>
      <c r="J91" s="536"/>
      <c r="K91" s="86"/>
    </row>
    <row r="92" spans="1:14" ht="15" customHeight="1" x14ac:dyDescent="0.35">
      <c r="B92" s="87" t="s">
        <v>649</v>
      </c>
      <c r="C92" s="96" t="s">
        <v>650</v>
      </c>
      <c r="D92" s="96" t="s">
        <v>651</v>
      </c>
      <c r="E92" s="96" t="s">
        <v>652</v>
      </c>
      <c r="F92" s="4" t="s">
        <v>653</v>
      </c>
      <c r="G92" s="4" t="s">
        <v>654</v>
      </c>
      <c r="H92" s="4" t="s">
        <v>655</v>
      </c>
      <c r="I92" s="4" t="s">
        <v>656</v>
      </c>
      <c r="J92" s="4" t="s">
        <v>657</v>
      </c>
      <c r="K92" s="86"/>
    </row>
    <row r="93" spans="1:14" ht="15" customHeight="1" x14ac:dyDescent="0.35">
      <c r="B93" s="4" t="s">
        <v>658</v>
      </c>
      <c r="C93" s="367">
        <v>500000303</v>
      </c>
      <c r="D93" s="96" t="s">
        <v>659</v>
      </c>
      <c r="E93" s="352" t="s">
        <v>660</v>
      </c>
      <c r="F93" s="352" t="s">
        <v>661</v>
      </c>
      <c r="G93" s="368">
        <f>881059.67</f>
        <v>881059.67</v>
      </c>
      <c r="H93" s="86" t="s">
        <v>662</v>
      </c>
      <c r="I93" s="368">
        <f t="shared" ref="I93" si="1">4111406762.64</f>
        <v>4111406762.6399999</v>
      </c>
      <c r="J93" s="4" t="s">
        <v>52</v>
      </c>
      <c r="K93" s="86"/>
    </row>
    <row r="94" spans="1:14" ht="15" x14ac:dyDescent="0.35">
      <c r="B94" s="4" t="s">
        <v>658</v>
      </c>
      <c r="C94" s="367">
        <v>500000303</v>
      </c>
      <c r="D94" s="96" t="s">
        <v>659</v>
      </c>
      <c r="E94" s="352" t="s">
        <v>663</v>
      </c>
      <c r="F94" s="352" t="s">
        <v>661</v>
      </c>
      <c r="G94" s="368">
        <f>29557.35</f>
        <v>29557.35</v>
      </c>
      <c r="H94" s="86" t="s">
        <v>662</v>
      </c>
      <c r="I94" s="368">
        <f>1638985.47</f>
        <v>1638985.47</v>
      </c>
      <c r="J94" s="4" t="s">
        <v>52</v>
      </c>
      <c r="K94" s="86"/>
    </row>
    <row r="95" spans="1:14" ht="15" x14ac:dyDescent="0.35">
      <c r="B95" s="4" t="s">
        <v>664</v>
      </c>
      <c r="C95" s="367">
        <v>500000321</v>
      </c>
      <c r="D95" s="351" t="s">
        <v>637</v>
      </c>
      <c r="E95" s="352" t="s">
        <v>660</v>
      </c>
      <c r="F95" s="352" t="s">
        <v>661</v>
      </c>
      <c r="G95" s="368">
        <f>306337.93</f>
        <v>306337.93</v>
      </c>
      <c r="H95" s="86" t="s">
        <v>662</v>
      </c>
      <c r="I95" s="368">
        <f>1392192549.83</f>
        <v>1392192549.8299999</v>
      </c>
      <c r="J95" s="4" t="s">
        <v>52</v>
      </c>
      <c r="K95" s="86"/>
    </row>
    <row r="96" spans="1:14" ht="18.75" customHeight="1" x14ac:dyDescent="0.35">
      <c r="B96" s="4" t="s">
        <v>664</v>
      </c>
      <c r="C96" s="367">
        <v>500000321</v>
      </c>
      <c r="D96" s="351" t="s">
        <v>637</v>
      </c>
      <c r="E96" s="352" t="s">
        <v>663</v>
      </c>
      <c r="F96" s="352" t="s">
        <v>661</v>
      </c>
      <c r="G96" s="368">
        <f>1467231.88</f>
        <v>1467231.88</v>
      </c>
      <c r="H96" s="86" t="s">
        <v>662</v>
      </c>
      <c r="I96" s="368">
        <f>72028942.33</f>
        <v>72028942.329999998</v>
      </c>
      <c r="J96" s="4" t="s">
        <v>52</v>
      </c>
      <c r="K96" s="86"/>
    </row>
    <row r="97" spans="2:11" ht="15" x14ac:dyDescent="0.35">
      <c r="B97" s="4" t="s">
        <v>664</v>
      </c>
      <c r="C97" s="367">
        <v>500000321</v>
      </c>
      <c r="D97" s="351" t="s">
        <v>637</v>
      </c>
      <c r="E97" s="352" t="s">
        <v>665</v>
      </c>
      <c r="F97" s="352" t="s">
        <v>661</v>
      </c>
      <c r="G97" s="368">
        <f>98966.57</f>
        <v>98966.57</v>
      </c>
      <c r="H97" s="86" t="s">
        <v>666</v>
      </c>
      <c r="I97" s="368">
        <f>1948979200.76</f>
        <v>1948979200.76</v>
      </c>
      <c r="J97" s="4" t="s">
        <v>52</v>
      </c>
      <c r="K97" s="86"/>
    </row>
    <row r="98" spans="2:11" ht="15" x14ac:dyDescent="0.35">
      <c r="B98" s="4" t="s">
        <v>667</v>
      </c>
      <c r="C98" s="367">
        <v>500004050</v>
      </c>
      <c r="D98" s="351" t="s">
        <v>668</v>
      </c>
      <c r="E98" s="352" t="s">
        <v>660</v>
      </c>
      <c r="F98" s="352" t="s">
        <v>661</v>
      </c>
      <c r="G98" s="368">
        <f>567565.83</f>
        <v>567565.82999999996</v>
      </c>
      <c r="H98" s="86" t="s">
        <v>662</v>
      </c>
      <c r="I98" s="368">
        <f>2713292990.58</f>
        <v>2713292990.5799999</v>
      </c>
      <c r="J98" s="4" t="s">
        <v>52</v>
      </c>
      <c r="K98" s="86"/>
    </row>
    <row r="99" spans="2:11" ht="15" x14ac:dyDescent="0.35">
      <c r="B99" s="4" t="s">
        <v>667</v>
      </c>
      <c r="C99" s="367">
        <v>500004050</v>
      </c>
      <c r="D99" s="351" t="s">
        <v>668</v>
      </c>
      <c r="E99" s="352" t="s">
        <v>663</v>
      </c>
      <c r="F99" s="352" t="s">
        <v>661</v>
      </c>
      <c r="G99" s="368">
        <f>342226.69</f>
        <v>342226.69</v>
      </c>
      <c r="H99" s="86" t="s">
        <v>662</v>
      </c>
      <c r="I99" s="368">
        <f>20532902.4</f>
        <v>20532902.399999999</v>
      </c>
      <c r="J99" s="4" t="s">
        <v>52</v>
      </c>
      <c r="K99" s="86"/>
    </row>
    <row r="100" spans="2:11" ht="15" x14ac:dyDescent="0.35">
      <c r="B100" s="4" t="s">
        <v>669</v>
      </c>
      <c r="C100" s="367">
        <v>500067385</v>
      </c>
      <c r="D100" s="351" t="s">
        <v>670</v>
      </c>
      <c r="E100" s="352" t="s">
        <v>660</v>
      </c>
      <c r="F100" s="352" t="s">
        <v>661</v>
      </c>
      <c r="G100" s="368">
        <f>182769.75</f>
        <v>182769.75</v>
      </c>
      <c r="H100" s="86" t="s">
        <v>662</v>
      </c>
      <c r="I100" s="368">
        <f>860457672.74</f>
        <v>860457672.74000001</v>
      </c>
      <c r="J100" s="4" t="s">
        <v>52</v>
      </c>
      <c r="K100" s="86"/>
    </row>
    <row r="101" spans="2:11" ht="15" x14ac:dyDescent="0.35">
      <c r="B101" s="4" t="s">
        <v>669</v>
      </c>
      <c r="C101" s="367">
        <v>500067385</v>
      </c>
      <c r="D101" s="351" t="s">
        <v>670</v>
      </c>
      <c r="E101" s="352" t="s">
        <v>663</v>
      </c>
      <c r="F101" s="352" t="s">
        <v>661</v>
      </c>
      <c r="G101" s="368">
        <f>3163065.95</f>
        <v>3163065.95</v>
      </c>
      <c r="H101" s="86" t="s">
        <v>662</v>
      </c>
      <c r="I101" s="368">
        <f>173192136.72</f>
        <v>173192136.72</v>
      </c>
      <c r="J101" s="4" t="s">
        <v>52</v>
      </c>
      <c r="K101" s="86"/>
    </row>
    <row r="102" spans="2:11" ht="15" x14ac:dyDescent="0.35">
      <c r="B102" s="4" t="s">
        <v>671</v>
      </c>
      <c r="C102" s="367">
        <v>500016519</v>
      </c>
      <c r="D102" s="351" t="s">
        <v>672</v>
      </c>
      <c r="E102" s="352" t="s">
        <v>660</v>
      </c>
      <c r="F102" s="352" t="s">
        <v>661</v>
      </c>
      <c r="G102" s="368">
        <f>79838</f>
        <v>79838</v>
      </c>
      <c r="H102" s="86" t="s">
        <v>662</v>
      </c>
      <c r="I102" s="368">
        <f>361005842.63</f>
        <v>361005842.63</v>
      </c>
      <c r="J102" s="4" t="s">
        <v>52</v>
      </c>
      <c r="K102" s="86"/>
    </row>
    <row r="103" spans="2:11" ht="15" x14ac:dyDescent="0.35">
      <c r="B103" s="4" t="s">
        <v>671</v>
      </c>
      <c r="C103" s="367">
        <v>500016519</v>
      </c>
      <c r="D103" s="351" t="s">
        <v>672</v>
      </c>
      <c r="E103" s="352" t="s">
        <v>663</v>
      </c>
      <c r="F103" s="352" t="s">
        <v>661</v>
      </c>
      <c r="G103" s="368">
        <f>22984</f>
        <v>22984</v>
      </c>
      <c r="H103" s="86" t="s">
        <v>662</v>
      </c>
      <c r="I103" s="368">
        <f>151873.35</f>
        <v>151873.35</v>
      </c>
      <c r="J103" s="4" t="s">
        <v>52</v>
      </c>
      <c r="K103" s="86"/>
    </row>
    <row r="104" spans="2:11" ht="15" x14ac:dyDescent="0.35">
      <c r="B104" s="4" t="s">
        <v>671</v>
      </c>
      <c r="C104" s="367">
        <v>500016519</v>
      </c>
      <c r="D104" s="351" t="s">
        <v>672</v>
      </c>
      <c r="E104" s="352" t="s">
        <v>665</v>
      </c>
      <c r="F104" s="352" t="s">
        <v>661</v>
      </c>
      <c r="G104" s="368">
        <v>432</v>
      </c>
      <c r="H104" s="86" t="s">
        <v>666</v>
      </c>
      <c r="I104" s="368">
        <f>5348261.33</f>
        <v>5348261.33</v>
      </c>
      <c r="J104" s="4" t="s">
        <v>52</v>
      </c>
      <c r="K104" s="86"/>
    </row>
    <row r="105" spans="2:11" ht="15" x14ac:dyDescent="0.35">
      <c r="B105" s="4" t="s">
        <v>673</v>
      </c>
      <c r="C105" s="367">
        <v>500000722</v>
      </c>
      <c r="D105" s="351" t="s">
        <v>674</v>
      </c>
      <c r="E105" s="352" t="s">
        <v>660</v>
      </c>
      <c r="F105" s="352" t="s">
        <v>661</v>
      </c>
      <c r="G105" s="368">
        <f>120478</f>
        <v>120478</v>
      </c>
      <c r="H105" s="86" t="s">
        <v>662</v>
      </c>
      <c r="I105" s="368">
        <f>574130627.53</f>
        <v>574130627.52999997</v>
      </c>
      <c r="J105" s="4" t="s">
        <v>52</v>
      </c>
      <c r="K105" s="86"/>
    </row>
    <row r="106" spans="2:11" ht="15" x14ac:dyDescent="0.35">
      <c r="B106" s="4" t="s">
        <v>673</v>
      </c>
      <c r="C106" s="367">
        <v>500000722</v>
      </c>
      <c r="D106" s="351" t="s">
        <v>674</v>
      </c>
      <c r="E106" s="352" t="s">
        <v>663</v>
      </c>
      <c r="F106" s="352" t="s">
        <v>661</v>
      </c>
      <c r="G106" s="368">
        <f>39337.66</f>
        <v>39337.660000000003</v>
      </c>
      <c r="H106" s="86" t="s">
        <v>662</v>
      </c>
      <c r="I106" s="368">
        <f>2121131.84</f>
        <v>2121131.84</v>
      </c>
      <c r="J106" s="4" t="s">
        <v>52</v>
      </c>
      <c r="K106" s="86"/>
    </row>
    <row r="107" spans="2:11" ht="15" x14ac:dyDescent="0.3">
      <c r="B107" s="4" t="s">
        <v>675</v>
      </c>
      <c r="C107" s="367">
        <v>500487630</v>
      </c>
      <c r="D107" s="352" t="s">
        <v>676</v>
      </c>
      <c r="E107" s="352" t="s">
        <v>660</v>
      </c>
      <c r="F107" s="352" t="s">
        <v>661</v>
      </c>
      <c r="G107" s="368">
        <f>49</f>
        <v>49</v>
      </c>
      <c r="H107" s="86" t="s">
        <v>662</v>
      </c>
      <c r="I107" s="368">
        <f>211094</f>
        <v>211094</v>
      </c>
      <c r="J107" s="4" t="s">
        <v>52</v>
      </c>
      <c r="K107" s="86"/>
    </row>
    <row r="108" spans="2:11" ht="15" x14ac:dyDescent="0.3">
      <c r="B108" s="4" t="s">
        <v>675</v>
      </c>
      <c r="C108" s="367">
        <v>500487630</v>
      </c>
      <c r="D108" s="352" t="s">
        <v>676</v>
      </c>
      <c r="E108" s="352" t="s">
        <v>663</v>
      </c>
      <c r="F108" s="352" t="s">
        <v>661</v>
      </c>
      <c r="G108" s="368">
        <v>36</v>
      </c>
      <c r="H108" s="86" t="s">
        <v>662</v>
      </c>
      <c r="I108" s="368">
        <f>2243</f>
        <v>2243</v>
      </c>
      <c r="J108" s="4" t="s">
        <v>52</v>
      </c>
    </row>
    <row r="109" spans="2:11" ht="15" x14ac:dyDescent="0.3">
      <c r="B109" s="4" t="s">
        <v>677</v>
      </c>
      <c r="C109" s="367">
        <v>500252013</v>
      </c>
      <c r="D109" s="352" t="s">
        <v>678</v>
      </c>
      <c r="E109" s="352" t="s">
        <v>660</v>
      </c>
      <c r="F109" s="352" t="s">
        <v>661</v>
      </c>
      <c r="G109" s="368">
        <f>297.96</f>
        <v>297.95999999999998</v>
      </c>
      <c r="H109" s="86" t="s">
        <v>662</v>
      </c>
      <c r="I109" s="368">
        <f>1297970.71</f>
        <v>1297970.71</v>
      </c>
      <c r="J109" s="4" t="s">
        <v>52</v>
      </c>
      <c r="K109" s="86"/>
    </row>
    <row r="110" spans="2:11" ht="15" x14ac:dyDescent="0.3">
      <c r="B110" s="86" t="s">
        <v>679</v>
      </c>
      <c r="C110" s="367">
        <v>500007798</v>
      </c>
      <c r="D110" s="352" t="s">
        <v>680</v>
      </c>
      <c r="E110" s="352" t="s">
        <v>681</v>
      </c>
      <c r="F110" s="352" t="s">
        <v>661</v>
      </c>
      <c r="G110" s="368">
        <f>33091</f>
        <v>33091</v>
      </c>
      <c r="H110" s="86" t="s">
        <v>666</v>
      </c>
      <c r="I110" s="368">
        <f>1293279197.53</f>
        <v>1293279197.53</v>
      </c>
      <c r="J110" s="4" t="s">
        <v>52</v>
      </c>
      <c r="K110" s="86"/>
    </row>
    <row r="111" spans="2:11" ht="15" x14ac:dyDescent="0.35">
      <c r="B111" s="86" t="s">
        <v>679</v>
      </c>
      <c r="C111" s="367">
        <v>500007798</v>
      </c>
      <c r="D111" s="352" t="s">
        <v>680</v>
      </c>
      <c r="E111" s="351" t="s">
        <v>682</v>
      </c>
      <c r="F111" s="352" t="s">
        <v>661</v>
      </c>
      <c r="G111" s="368">
        <f>2915.23</f>
        <v>2915.23</v>
      </c>
      <c r="H111" s="86" t="s">
        <v>666</v>
      </c>
      <c r="I111" s="368">
        <f>220075220.83</f>
        <v>220075220.83000001</v>
      </c>
      <c r="J111" s="4" t="s">
        <v>52</v>
      </c>
    </row>
    <row r="112" spans="2:11" ht="15" x14ac:dyDescent="0.3">
      <c r="B112" s="363" t="s">
        <v>679</v>
      </c>
      <c r="C112" s="367">
        <v>500007798</v>
      </c>
      <c r="D112" s="352" t="s">
        <v>680</v>
      </c>
      <c r="E112" s="4" t="s">
        <v>683</v>
      </c>
      <c r="F112" s="352" t="s">
        <v>661</v>
      </c>
      <c r="G112" s="392">
        <f>115573</f>
        <v>115573</v>
      </c>
      <c r="H112" s="370" t="s">
        <v>666</v>
      </c>
      <c r="I112" s="368">
        <f>66119599.62</f>
        <v>66119599.619999997</v>
      </c>
      <c r="J112" s="4" t="s">
        <v>52</v>
      </c>
      <c r="K112" s="86"/>
    </row>
    <row r="113" spans="2:11" ht="15.6" thickBot="1" x14ac:dyDescent="0.35">
      <c r="B113" s="537"/>
      <c r="C113" s="538"/>
      <c r="D113" s="538"/>
      <c r="E113" s="538"/>
      <c r="F113" s="538"/>
      <c r="G113" s="538"/>
      <c r="H113" s="538"/>
      <c r="I113" s="538"/>
      <c r="J113" s="538"/>
    </row>
    <row r="114" spans="2:11" ht="15" x14ac:dyDescent="0.3">
      <c r="B114" s="539"/>
      <c r="C114" s="540"/>
      <c r="D114" s="540"/>
      <c r="E114" s="540"/>
      <c r="F114" s="540"/>
      <c r="G114" s="540"/>
      <c r="H114" s="540"/>
      <c r="I114" s="540"/>
      <c r="J114" s="540"/>
      <c r="K114" s="86"/>
    </row>
    <row r="115" spans="2:11" ht="15.6" thickBot="1" x14ac:dyDescent="0.35">
      <c r="B115" s="209"/>
      <c r="C115" s="209"/>
      <c r="D115" s="209"/>
      <c r="E115" s="209"/>
      <c r="K115" s="86"/>
    </row>
    <row r="116" spans="2:11" ht="15" x14ac:dyDescent="0.3">
      <c r="B116" s="541" t="s">
        <v>29</v>
      </c>
      <c r="C116" s="541"/>
      <c r="D116" s="541"/>
      <c r="E116" s="541"/>
      <c r="F116" s="541"/>
      <c r="G116" s="541"/>
      <c r="H116" s="541"/>
      <c r="I116" s="541"/>
      <c r="J116" s="541"/>
    </row>
    <row r="117" spans="2:11" ht="15" x14ac:dyDescent="0.3">
      <c r="B117" s="468" t="s">
        <v>30</v>
      </c>
      <c r="C117" s="468"/>
      <c r="D117" s="468"/>
      <c r="E117" s="468"/>
      <c r="F117" s="468"/>
      <c r="G117" s="468"/>
      <c r="H117" s="468"/>
      <c r="I117" s="468"/>
      <c r="J117" s="468"/>
    </row>
    <row r="118" spans="2:11" ht="24" customHeight="1" x14ac:dyDescent="0.3">
      <c r="B118" s="533" t="s">
        <v>684</v>
      </c>
      <c r="C118" s="533"/>
      <c r="D118" s="533"/>
      <c r="E118" s="533"/>
      <c r="F118" s="533"/>
      <c r="G118" s="533"/>
      <c r="H118" s="533"/>
      <c r="I118" s="533"/>
      <c r="J118" s="533"/>
    </row>
    <row r="119" spans="2:11" ht="24" customHeight="1" x14ac:dyDescent="0.3">
      <c r="B119" s="534"/>
      <c r="C119" s="534"/>
      <c r="D119" s="534"/>
      <c r="E119" s="534"/>
      <c r="F119" s="534"/>
      <c r="G119" s="534"/>
      <c r="H119" s="534"/>
      <c r="I119" s="534"/>
      <c r="J119" s="534"/>
    </row>
    <row r="124" spans="2:11" ht="24" customHeight="1" x14ac:dyDescent="0.3">
      <c r="F124" s="86"/>
      <c r="G124" s="86"/>
      <c r="H124" s="86"/>
      <c r="I124" s="86"/>
      <c r="J124" s="86"/>
    </row>
    <row r="125" spans="2:11" ht="24" customHeight="1" x14ac:dyDescent="0.3">
      <c r="K125" s="86"/>
    </row>
  </sheetData>
  <mergeCells count="20">
    <mergeCell ref="B26:J26"/>
    <mergeCell ref="B2:J2"/>
    <mergeCell ref="B3:J3"/>
    <mergeCell ref="B4:J4"/>
    <mergeCell ref="B5:J5"/>
    <mergeCell ref="B6:J6"/>
    <mergeCell ref="B7:J7"/>
    <mergeCell ref="B8:J8"/>
    <mergeCell ref="B10:J10"/>
    <mergeCell ref="B11:J11"/>
    <mergeCell ref="B12:J12"/>
    <mergeCell ref="B13:J13"/>
    <mergeCell ref="B118:J118"/>
    <mergeCell ref="B119:J119"/>
    <mergeCell ref="B27:D27"/>
    <mergeCell ref="B91:J91"/>
    <mergeCell ref="B113:J113"/>
    <mergeCell ref="B114:J114"/>
    <mergeCell ref="B116:J116"/>
    <mergeCell ref="B117:J117"/>
  </mergeCells>
  <hyperlinks>
    <hyperlink ref="G79" r:id="rId1" xr:uid="{D504A9B2-F9BD-4889-AB68-3A18E3FB7DB0}"/>
    <hyperlink ref="G78" r:id="rId2" xr:uid="{F35DE41D-575D-438F-9548-C1D3FB1B1432}"/>
    <hyperlink ref="G77" r:id="rId3" xr:uid="{9E9AB1D3-627B-44E5-9060-6007C233C78C}"/>
    <hyperlink ref="G76" r:id="rId4" xr:uid="{4202A669-4E46-42DF-83AF-B5EE90F6E189}"/>
    <hyperlink ref="G75" r:id="rId5" xr:uid="{1BC7FF70-808E-4A07-B469-F6E5E7BF4AD3}"/>
    <hyperlink ref="G73" r:id="rId6" xr:uid="{00F0A8AC-9C7D-485D-8E35-AAEC0396DCC7}"/>
    <hyperlink ref="G72" r:id="rId7" xr:uid="{AE05B7AD-FC51-431A-82B9-866FE16A16E6}"/>
    <hyperlink ref="G71" r:id="rId8" xr:uid="{C8C6B7D4-CC99-4CAB-B8FA-0CDC1D2E23C1}"/>
    <hyperlink ref="G36" r:id="rId9" xr:uid="{502EC009-4AE0-4BBA-829E-CC8E41E79029}"/>
    <hyperlink ref="G49" r:id="rId10" xr:uid="{D3E892B9-EDA9-45A7-8D83-96290799DF4F}"/>
    <hyperlink ref="G33" r:id="rId11" xr:uid="{54D405D7-2C16-47E5-8329-0EB323267B3B}"/>
    <hyperlink ref="G31" r:id="rId12" xr:uid="{E7BFA230-54DC-451B-9641-583A17C45BE4}"/>
    <hyperlink ref="H49" r:id="rId13" xr:uid="{E24CEB69-B75C-428F-911E-05649C45DF1D}"/>
    <hyperlink ref="H71" r:id="rId14" xr:uid="{54F6C8F8-2444-4C6D-AC16-5574D8FEF0EA}"/>
    <hyperlink ref="H72" r:id="rId15" xr:uid="{7933D0D8-3A06-4D0B-BA86-533CF82E5DE4}"/>
    <hyperlink ref="H73" r:id="rId16" xr:uid="{623BC495-5927-41F4-9DB2-C112C4439A49}"/>
    <hyperlink ref="H75" r:id="rId17" xr:uid="{60C10B58-33B5-4B98-9509-B8E61B46518E}"/>
    <hyperlink ref="H76" r:id="rId18" xr:uid="{1B804FD5-AE19-427A-AD3C-186FF7994817}"/>
    <hyperlink ref="H36" r:id="rId19" xr:uid="{E774D6C2-3608-454D-A889-E585CDB5ED49}"/>
    <hyperlink ref="H31" r:id="rId20" xr:uid="{2E88AEE4-B018-4F88-A8CE-C80ACE28CDB4}"/>
    <hyperlink ref="H77" r:id="rId21" xr:uid="{FC7533B2-B355-472D-9A29-07E7CEC57846}"/>
    <hyperlink ref="H78" r:id="rId22" xr:uid="{B2B249F5-1D2A-44C2-B787-70026FA1E1E0}"/>
    <hyperlink ref="H79" r:id="rId23" xr:uid="{05528451-61F7-4BC5-91A1-3298810599CC}"/>
    <hyperlink ref="H33" r:id="rId24" xr:uid="{FFB4D128-91A9-4D48-8D1D-2E5498280F65}"/>
    <hyperlink ref="G82" r:id="rId25" xr:uid="{A2BC4A16-A5D2-4CFE-A727-BE28E6BFA593}"/>
    <hyperlink ref="H82" r:id="rId26" xr:uid="{4DED0AD9-0709-42AE-BB20-F6A951BEA2D5}"/>
    <hyperlink ref="G50:G52" r:id="rId27" display="https://www.oilsearch.com/home" xr:uid="{F8EDFA82-E48F-4367-AE80-CA3B90230F0B}"/>
    <hyperlink ref="H50:H52" r:id="rId28" display="https://www.oilsearch.com/__data/assets/pdf_file/0005/46967/HC_OSL_AR19_Interactive_v2A_compressed.pdf" xr:uid="{01ABC8C4-C319-4E6F-B1FE-B5CE6DAB5AB8}"/>
  </hyperlinks>
  <pageMargins left="0.25" right="0.25" top="0.75" bottom="0.75" header="0.3" footer="0.3"/>
  <pageSetup paperSize="8" fitToHeight="0" orientation="landscape" horizontalDpi="2400" verticalDpi="2400" r:id="rId29"/>
  <drawing r:id="rId30"/>
  <mc:AlternateContent xmlns:mc="http://schemas.openxmlformats.org/markup-compatibility/2006">
    <mc:Choice Requires="v">
      <legacyDrawing r:id="rId31"/>
    </mc:Choice>
  </mc:AlternateContent>
  <tableParts count="3">
    <tablePart r:id="rId32"/>
    <tablePart r:id="rId33"/>
    <tablePart r:id="rId34"/>
  </tableParts>
</worksheet>
</file>

<file path=xl/worksheets/sheet14.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678A4-CEFB-3347-A462-C54DA69D53A5}">
  <sheetPr codeName="Sheet14"/>
  <dimension ref="B1:U82"/>
  <sheetViews>
    <sheetView showGridLines="0" topLeftCell="M9" zoomScale="70" zoomScaleNormal="70" workbookViewId="0">
      <selection activeCell="J54" sqref="J54"/>
    </sheetView>
  </sheetViews>
  <sheetFormatPr defaultColWidth="8.5" defaultRowHeight="15" x14ac:dyDescent="0.35"/>
  <cols>
    <col min="1" max="1" width="2.5" style="96" customWidth="1"/>
    <col min="2" max="5" width="0" style="96" hidden="1" customWidth="1"/>
    <col min="6" max="6" width="58.59765625" style="96" customWidth="1"/>
    <col min="7" max="7" width="20" style="96" customWidth="1"/>
    <col min="8" max="8" width="38.09765625" style="96" customWidth="1"/>
    <col min="9" max="9" width="47.3984375" style="96" customWidth="1"/>
    <col min="10" max="10" width="30" style="96" customWidth="1"/>
    <col min="11" max="11" width="15.5" style="96" bestFit="1" customWidth="1"/>
    <col min="12" max="12" width="2.5" style="96" customWidth="1"/>
    <col min="13" max="13" width="19.5" style="96" bestFit="1" customWidth="1"/>
    <col min="14" max="14" width="73.5" style="96" bestFit="1" customWidth="1"/>
    <col min="15" max="15" width="4" style="96" customWidth="1"/>
    <col min="16" max="17" width="8.5" style="96"/>
    <col min="18" max="18" width="21" style="96" bestFit="1" customWidth="1"/>
    <col min="19" max="19" width="8.5" style="96"/>
    <col min="20" max="20" width="21" style="96" bestFit="1" customWidth="1"/>
    <col min="21" max="16384" width="8.5" style="96"/>
  </cols>
  <sheetData>
    <row r="1" spans="6:14" s="4" customFormat="1" ht="15.75" hidden="1" customHeight="1" x14ac:dyDescent="0.3"/>
    <row r="2" spans="6:14" s="4" customFormat="1" hidden="1" x14ac:dyDescent="0.3"/>
    <row r="3" spans="6:14" s="4" customFormat="1" hidden="1" x14ac:dyDescent="0.3">
      <c r="N3" s="97" t="s">
        <v>685</v>
      </c>
    </row>
    <row r="4" spans="6:14" s="4" customFormat="1" hidden="1" x14ac:dyDescent="0.3">
      <c r="N4" s="97" t="str">
        <f>[1]Introduction!G4</f>
        <v>YYYY-MM-DD</v>
      </c>
    </row>
    <row r="5" spans="6:14" s="4" customFormat="1" hidden="1" x14ac:dyDescent="0.3"/>
    <row r="6" spans="6:14" s="4" customFormat="1" hidden="1" x14ac:dyDescent="0.3"/>
    <row r="7" spans="6:14" s="4" customFormat="1" x14ac:dyDescent="0.3"/>
    <row r="8" spans="6:14" s="4" customFormat="1" x14ac:dyDescent="0.3">
      <c r="F8" s="542" t="s">
        <v>686</v>
      </c>
      <c r="G8" s="542"/>
      <c r="H8" s="542"/>
      <c r="I8" s="542"/>
      <c r="J8" s="542"/>
      <c r="K8" s="542"/>
      <c r="L8" s="542"/>
      <c r="M8" s="542"/>
      <c r="N8" s="542"/>
    </row>
    <row r="9" spans="6:14" s="4" customFormat="1" ht="24" x14ac:dyDescent="0.3">
      <c r="F9" s="558" t="s">
        <v>34</v>
      </c>
      <c r="G9" s="558"/>
      <c r="H9" s="558"/>
      <c r="I9" s="558"/>
      <c r="J9" s="558"/>
      <c r="K9" s="558"/>
      <c r="L9" s="558"/>
      <c r="M9" s="558"/>
      <c r="N9" s="558"/>
    </row>
    <row r="10" spans="6:14" s="4" customFormat="1" x14ac:dyDescent="0.3">
      <c r="F10" s="562" t="s">
        <v>687</v>
      </c>
      <c r="G10" s="562"/>
      <c r="H10" s="562"/>
      <c r="I10" s="562"/>
      <c r="J10" s="562"/>
      <c r="K10" s="562"/>
      <c r="L10" s="562"/>
      <c r="M10" s="562"/>
      <c r="N10" s="562"/>
    </row>
    <row r="11" spans="6:14" s="4" customFormat="1" x14ac:dyDescent="0.3">
      <c r="F11" s="563" t="s">
        <v>688</v>
      </c>
      <c r="G11" s="563"/>
      <c r="H11" s="563"/>
      <c r="I11" s="563"/>
      <c r="J11" s="563"/>
      <c r="K11" s="563"/>
      <c r="L11" s="563"/>
      <c r="M11" s="563"/>
      <c r="N11" s="563"/>
    </row>
    <row r="12" spans="6:14" s="4" customFormat="1" x14ac:dyDescent="0.3">
      <c r="F12" s="563" t="s">
        <v>689</v>
      </c>
      <c r="G12" s="563"/>
      <c r="H12" s="563"/>
      <c r="I12" s="563"/>
      <c r="J12" s="563"/>
      <c r="K12" s="563"/>
      <c r="L12" s="563"/>
      <c r="M12" s="563"/>
      <c r="N12" s="563"/>
    </row>
    <row r="13" spans="6:14" s="4" customFormat="1" x14ac:dyDescent="0.3">
      <c r="F13" s="561" t="s">
        <v>690</v>
      </c>
      <c r="G13" s="561"/>
      <c r="H13" s="561"/>
      <c r="I13" s="561"/>
      <c r="J13" s="561"/>
      <c r="K13" s="561"/>
      <c r="L13" s="561"/>
      <c r="M13" s="561"/>
      <c r="N13" s="561"/>
    </row>
    <row r="14" spans="6:14" s="4" customFormat="1" x14ac:dyDescent="0.3">
      <c r="F14" s="550" t="s">
        <v>691</v>
      </c>
      <c r="G14" s="550"/>
      <c r="H14" s="550"/>
      <c r="I14" s="550"/>
      <c r="J14" s="550"/>
      <c r="K14" s="550"/>
      <c r="L14" s="550"/>
      <c r="M14" s="550"/>
      <c r="N14" s="550"/>
    </row>
    <row r="15" spans="6:14" s="4" customFormat="1" x14ac:dyDescent="0.3">
      <c r="F15" s="551" t="s">
        <v>692</v>
      </c>
      <c r="G15" s="551"/>
      <c r="H15" s="551"/>
      <c r="I15" s="551"/>
      <c r="J15" s="551"/>
      <c r="K15" s="551"/>
      <c r="L15" s="551"/>
      <c r="M15" s="551"/>
      <c r="N15" s="551"/>
    </row>
    <row r="16" spans="6:14" s="4" customFormat="1" x14ac:dyDescent="0.35">
      <c r="F16" s="552" t="s">
        <v>38</v>
      </c>
      <c r="G16" s="553"/>
      <c r="H16" s="553"/>
      <c r="I16" s="553"/>
      <c r="J16" s="553"/>
      <c r="K16" s="553"/>
      <c r="L16" s="553"/>
      <c r="M16" s="553"/>
      <c r="N16" s="553"/>
    </row>
    <row r="17" spans="2:21" s="4" customFormat="1" x14ac:dyDescent="0.3"/>
    <row r="18" spans="2:21" s="4" customFormat="1" ht="24" x14ac:dyDescent="0.3">
      <c r="F18" s="546" t="s">
        <v>693</v>
      </c>
      <c r="G18" s="546"/>
      <c r="H18" s="546"/>
      <c r="I18" s="546"/>
      <c r="J18" s="546"/>
      <c r="K18" s="546"/>
      <c r="M18" s="554" t="s">
        <v>694</v>
      </c>
      <c r="N18" s="554"/>
    </row>
    <row r="19" spans="2:21" s="4" customFormat="1" ht="15.75" customHeight="1" x14ac:dyDescent="0.3">
      <c r="M19" s="555" t="s">
        <v>695</v>
      </c>
      <c r="N19" s="555"/>
    </row>
    <row r="20" spans="2:21" x14ac:dyDescent="0.35">
      <c r="F20" s="556" t="s">
        <v>696</v>
      </c>
      <c r="G20" s="556"/>
      <c r="H20" s="556"/>
      <c r="I20" s="556"/>
      <c r="J20" s="556"/>
      <c r="K20" s="557"/>
      <c r="M20" s="4"/>
      <c r="N20" s="4"/>
    </row>
    <row r="21" spans="2:21" ht="24" x14ac:dyDescent="0.35">
      <c r="B21" s="98" t="s">
        <v>697</v>
      </c>
      <c r="C21" s="98" t="s">
        <v>698</v>
      </c>
      <c r="D21" s="98" t="s">
        <v>699</v>
      </c>
      <c r="E21" s="98" t="s">
        <v>700</v>
      </c>
      <c r="F21" s="96" t="s">
        <v>701</v>
      </c>
      <c r="G21" s="96" t="s">
        <v>562</v>
      </c>
      <c r="H21" s="96" t="s">
        <v>702</v>
      </c>
      <c r="I21" s="96" t="s">
        <v>703</v>
      </c>
      <c r="J21" s="96" t="s">
        <v>704</v>
      </c>
      <c r="K21" s="4" t="s">
        <v>657</v>
      </c>
      <c r="M21" s="558" t="s">
        <v>705</v>
      </c>
      <c r="N21" s="558"/>
    </row>
    <row r="22" spans="2:21" ht="15.75" customHeight="1" x14ac:dyDescent="0.35">
      <c r="B22" s="98" t="str">
        <f>IFERROR(VLOOKUP(Government_revenues_table[[#This Row],[GFS Classification]],[1]!Table6_GFS_codes_classification[#Data],COLUMNS($F:F)+3,FALSE),"Do not enter data")</f>
        <v>Do not enter data</v>
      </c>
      <c r="C22" s="98" t="str">
        <f>IFERROR(VLOOKUP(Government_revenues_table[[#This Row],[GFS Classification]],[1]!Table6_GFS_codes_classification[#Data],COLUMNS($F:G)+3,FALSE),"Do not enter data")</f>
        <v>Do not enter data</v>
      </c>
      <c r="D22" s="98" t="str">
        <f>IFERROR(VLOOKUP(Government_revenues_table[[#This Row],[GFS Classification]],[1]!Table6_GFS_codes_classification[#Data],COLUMNS($F:H)+3,FALSE),"Do not enter data")</f>
        <v>Do not enter data</v>
      </c>
      <c r="E22" s="98" t="str">
        <f>IFERROR(VLOOKUP(Government_revenues_table[[#This Row],[GFS Classification]],[1]!Table6_GFS_codes_classification[#Data],COLUMNS($F:I)+3,FALSE),"Do not enter data")</f>
        <v>Do not enter data</v>
      </c>
      <c r="F22" s="96" t="s">
        <v>706</v>
      </c>
      <c r="G22" s="4" t="s">
        <v>707</v>
      </c>
      <c r="H22" s="96" t="s">
        <v>708</v>
      </c>
      <c r="I22" s="96" t="s">
        <v>709</v>
      </c>
      <c r="J22" s="364">
        <f>7067387</f>
        <v>7067387</v>
      </c>
      <c r="K22" s="96" t="s">
        <v>52</v>
      </c>
      <c r="M22" s="559" t="s">
        <v>710</v>
      </c>
      <c r="N22" s="559"/>
    </row>
    <row r="23" spans="2:21" ht="15.75" customHeight="1" x14ac:dyDescent="0.35">
      <c r="B23" s="98" t="str">
        <f>IFERROR(VLOOKUP(Government_revenues_table[[#This Row],[GFS Classification]],[1]!Table6_GFS_codes_classification[#Data],COLUMNS($F:F)+3,FALSE),"Do not enter data")</f>
        <v>Do not enter data</v>
      </c>
      <c r="C23" s="98" t="str">
        <f>IFERROR(VLOOKUP(Government_revenues_table[[#This Row],[GFS Classification]],[1]!Table6_GFS_codes_classification[#Data],COLUMNS($F:G)+3,FALSE),"Do not enter data")</f>
        <v>Do not enter data</v>
      </c>
      <c r="D23" s="98" t="str">
        <f>IFERROR(VLOOKUP(Government_revenues_table[[#This Row],[GFS Classification]],[1]!Table6_GFS_codes_classification[#Data],COLUMNS($F:H)+3,FALSE),"Do not enter data")</f>
        <v>Do not enter data</v>
      </c>
      <c r="E23" s="98" t="str">
        <f>IFERROR(VLOOKUP(Government_revenues_table[[#This Row],[GFS Classification]],[1]!Table6_GFS_codes_classification[#Data],COLUMNS($F:I)+3,FALSE),"Do not enter data")</f>
        <v>Do not enter data</v>
      </c>
      <c r="F23" s="96" t="s">
        <v>711</v>
      </c>
      <c r="G23" s="4" t="s">
        <v>613</v>
      </c>
      <c r="H23" s="96" t="s">
        <v>712</v>
      </c>
      <c r="I23" s="96" t="s">
        <v>713</v>
      </c>
      <c r="J23" s="364">
        <f>34340856</f>
        <v>34340856</v>
      </c>
      <c r="K23" s="96" t="s">
        <v>52</v>
      </c>
      <c r="M23" s="559"/>
      <c r="N23" s="559"/>
    </row>
    <row r="24" spans="2:21" ht="15.75" customHeight="1" x14ac:dyDescent="0.35">
      <c r="B24" s="98" t="str">
        <f>IFERROR(VLOOKUP(Government_revenues_table[[#This Row],[GFS Classification]],[1]!Table6_GFS_codes_classification[#Data],COLUMNS($F:F)+3,FALSE),"Do not enter data")</f>
        <v>Do not enter data</v>
      </c>
      <c r="C24" s="98" t="str">
        <f>IFERROR(VLOOKUP(Government_revenues_table[[#This Row],[GFS Classification]],[1]!Table6_GFS_codes_classification[#Data],COLUMNS($F:G)+3,FALSE),"Do not enter data")</f>
        <v>Do not enter data</v>
      </c>
      <c r="D24" s="98" t="str">
        <f>IFERROR(VLOOKUP(Government_revenues_table[[#This Row],[GFS Classification]],[1]!Table6_GFS_codes_classification[#Data],COLUMNS($F:H)+3,FALSE),"Do not enter data")</f>
        <v>Do not enter data</v>
      </c>
      <c r="E24" s="98" t="str">
        <f>IFERROR(VLOOKUP(Government_revenues_table[[#This Row],[GFS Classification]],[1]!Table6_GFS_codes_classification[#Data],COLUMNS($F:I)+3,FALSE),"Do not enter data")</f>
        <v>Do not enter data</v>
      </c>
      <c r="F24" s="96" t="s">
        <v>714</v>
      </c>
      <c r="G24" s="4" t="s">
        <v>707</v>
      </c>
      <c r="H24" s="96" t="s">
        <v>715</v>
      </c>
      <c r="I24" s="96" t="s">
        <v>713</v>
      </c>
      <c r="J24" s="364">
        <f>259476582</f>
        <v>259476582</v>
      </c>
      <c r="K24" s="96" t="s">
        <v>52</v>
      </c>
      <c r="M24" s="559"/>
      <c r="N24" s="559"/>
    </row>
    <row r="25" spans="2:21" ht="15.75" customHeight="1" x14ac:dyDescent="0.35">
      <c r="B25" s="98" t="str">
        <f>IFERROR(VLOOKUP(Government_revenues_table[[#This Row],[GFS Classification]],[1]!Table6_GFS_codes_classification[#Data],COLUMNS($F:F)+3,FALSE),"Do not enter data")</f>
        <v>Do not enter data</v>
      </c>
      <c r="C25" s="98" t="str">
        <f>IFERROR(VLOOKUP(Government_revenues_table[[#This Row],[GFS Classification]],[1]!Table6_GFS_codes_classification[#Data],COLUMNS($F:G)+3,FALSE),"Do not enter data")</f>
        <v>Do not enter data</v>
      </c>
      <c r="D25" s="98" t="str">
        <f>IFERROR(VLOOKUP(Government_revenues_table[[#This Row],[GFS Classification]],[1]!Table6_GFS_codes_classification[#Data],COLUMNS($F:H)+3,FALSE),"Do not enter data")</f>
        <v>Do not enter data</v>
      </c>
      <c r="E25" s="98" t="str">
        <f>IFERROR(VLOOKUP(Government_revenues_table[[#This Row],[GFS Classification]],[1]!Table6_GFS_codes_classification[#Data],COLUMNS($F:I)+3,FALSE),"Do not enter data")</f>
        <v>Do not enter data</v>
      </c>
      <c r="F25" s="96" t="s">
        <v>711</v>
      </c>
      <c r="G25" s="4" t="s">
        <v>613</v>
      </c>
      <c r="H25" s="96" t="s">
        <v>716</v>
      </c>
      <c r="I25" s="96" t="s">
        <v>713</v>
      </c>
      <c r="J25" s="364">
        <f>5907097</f>
        <v>5907097</v>
      </c>
      <c r="K25" s="96" t="s">
        <v>52</v>
      </c>
      <c r="M25" s="559"/>
      <c r="N25" s="559"/>
    </row>
    <row r="26" spans="2:21" x14ac:dyDescent="0.35">
      <c r="B26" s="98" t="str">
        <f>IFERROR(VLOOKUP(Government_revenues_table[[#This Row],[GFS Classification]],[1]!Table6_GFS_codes_classification[#Data],COLUMNS($F:F)+3,FALSE),"Do not enter data")</f>
        <v>Do not enter data</v>
      </c>
      <c r="C26" s="98" t="str">
        <f>IFERROR(VLOOKUP(Government_revenues_table[[#This Row],[GFS Classification]],[1]!Table6_GFS_codes_classification[#Data],COLUMNS($F:G)+3,FALSE),"Do not enter data")</f>
        <v>Do not enter data</v>
      </c>
      <c r="D26" s="98" t="str">
        <f>IFERROR(VLOOKUP(Government_revenues_table[[#This Row],[GFS Classification]],[1]!Table6_GFS_codes_classification[#Data],COLUMNS($F:H)+3,FALSE),"Do not enter data")</f>
        <v>Do not enter data</v>
      </c>
      <c r="E26" s="98" t="str">
        <f>IFERROR(VLOOKUP(Government_revenues_table[[#This Row],[GFS Classification]],[1]!Table6_GFS_codes_classification[#Data],COLUMNS($F:I)+3,FALSE),"Do not enter data")</f>
        <v>Do not enter data</v>
      </c>
      <c r="F26" s="96" t="s">
        <v>714</v>
      </c>
      <c r="G26" s="4" t="s">
        <v>570</v>
      </c>
      <c r="H26" s="96" t="s">
        <v>717</v>
      </c>
      <c r="I26" s="96" t="s">
        <v>718</v>
      </c>
      <c r="J26" s="364">
        <f>152966584</f>
        <v>152966584</v>
      </c>
      <c r="K26" s="96" t="s">
        <v>52</v>
      </c>
      <c r="M26" s="560" t="s">
        <v>719</v>
      </c>
      <c r="N26" s="560"/>
    </row>
    <row r="27" spans="2:21" x14ac:dyDescent="0.35">
      <c r="B27" s="98" t="str">
        <f>IFERROR(VLOOKUP(Government_revenues_table[[#This Row],[GFS Classification]],[1]!Table6_GFS_codes_classification[#Data],COLUMNS($F:F)+3,FALSE),"Do not enter data")</f>
        <v>Do not enter data</v>
      </c>
      <c r="C27" s="98" t="str">
        <f>IFERROR(VLOOKUP(Government_revenues_table[[#This Row],[GFS Classification]],[1]!Table6_GFS_codes_classification[#Data],COLUMNS($F:G)+3,FALSE),"Do not enter data")</f>
        <v>Do not enter data</v>
      </c>
      <c r="D27" s="98" t="str">
        <f>IFERROR(VLOOKUP(Government_revenues_table[[#This Row],[GFS Classification]],[1]!Table6_GFS_codes_classification[#Data],COLUMNS($F:H)+3,FALSE),"Do not enter data")</f>
        <v>Do not enter data</v>
      </c>
      <c r="E27" s="98" t="str">
        <f>IFERROR(VLOOKUP(Government_revenues_table[[#This Row],[GFS Classification]],[1]!Table6_GFS_codes_classification[#Data],COLUMNS($F:I)+3,FALSE),"Do not enter data")</f>
        <v>Do not enter data</v>
      </c>
      <c r="F27" s="96" t="s">
        <v>711</v>
      </c>
      <c r="G27" s="4" t="s">
        <v>570</v>
      </c>
      <c r="H27" s="96" t="s">
        <v>720</v>
      </c>
      <c r="I27" s="96" t="s">
        <v>718</v>
      </c>
      <c r="J27" s="364">
        <f>113175316</f>
        <v>113175316</v>
      </c>
      <c r="K27" s="96" t="s">
        <v>52</v>
      </c>
      <c r="M27" s="560" t="s">
        <v>721</v>
      </c>
      <c r="N27" s="560"/>
    </row>
    <row r="28" spans="2:21" ht="15.6" thickBot="1" x14ac:dyDescent="0.4">
      <c r="B28" s="98" t="str">
        <f>IFERROR(VLOOKUP(Government_revenues_table[[#This Row],[GFS Classification]],[1]!Table6_GFS_codes_classification[#Data],COLUMNS($F:F)+3,FALSE),"Do not enter data")</f>
        <v>Do not enter data</v>
      </c>
      <c r="C28" s="98" t="str">
        <f>IFERROR(VLOOKUP(Government_revenues_table[[#This Row],[GFS Classification]],[1]!Table6_GFS_codes_classification[#Data],COLUMNS($F:G)+3,FALSE),"Do not enter data")</f>
        <v>Do not enter data</v>
      </c>
      <c r="D28" s="98" t="str">
        <f>IFERROR(VLOOKUP(Government_revenues_table[[#This Row],[GFS Classification]],[1]!Table6_GFS_codes_classification[#Data],COLUMNS($F:H)+3,FALSE),"Do not enter data")</f>
        <v>Do not enter data</v>
      </c>
      <c r="E28" s="98" t="str">
        <f>IFERROR(VLOOKUP(Government_revenues_table[[#This Row],[GFS Classification]],[1]!Table6_GFS_codes_classification[#Data],COLUMNS($F:I)+3,FALSE),"Do not enter data")</f>
        <v>Do not enter data</v>
      </c>
      <c r="F28" s="96" t="s">
        <v>706</v>
      </c>
      <c r="G28" s="4" t="s">
        <v>570</v>
      </c>
      <c r="H28" s="96" t="s">
        <v>722</v>
      </c>
      <c r="I28" s="96" t="s">
        <v>718</v>
      </c>
      <c r="J28" s="364">
        <f>4746054</f>
        <v>4746054</v>
      </c>
      <c r="K28" s="96" t="s">
        <v>52</v>
      </c>
      <c r="M28" s="100"/>
      <c r="N28" s="100"/>
    </row>
    <row r="29" spans="2:21" x14ac:dyDescent="0.35">
      <c r="B29" s="98" t="str">
        <f>IFERROR(VLOOKUP(Government_revenues_table[[#This Row],[GFS Classification]],[1]!Table6_GFS_codes_classification[#Data],COLUMNS($F:F)+3,FALSE),"Do not enter data")</f>
        <v>Do not enter data</v>
      </c>
      <c r="C29" s="98" t="str">
        <f>IFERROR(VLOOKUP(Government_revenues_table[[#This Row],[GFS Classification]],[1]!Table6_GFS_codes_classification[#Data],COLUMNS($F:G)+3,FALSE),"Do not enter data")</f>
        <v>Do not enter data</v>
      </c>
      <c r="D29" s="98" t="str">
        <f>IFERROR(VLOOKUP(Government_revenues_table[[#This Row],[GFS Classification]],[1]!Table6_GFS_codes_classification[#Data],COLUMNS($F:H)+3,FALSE),"Do not enter data")</f>
        <v>Do not enter data</v>
      </c>
      <c r="E29" s="98" t="str">
        <f>IFERROR(VLOOKUP(Government_revenues_table[[#This Row],[GFS Classification]],[1]!Table6_GFS_codes_classification[#Data],COLUMNS($F:I)+3,FALSE),"Do not enter data")</f>
        <v>Do not enter data</v>
      </c>
      <c r="F29" s="96" t="s">
        <v>723</v>
      </c>
      <c r="G29" s="4" t="s">
        <v>570</v>
      </c>
      <c r="H29" s="96" t="s">
        <v>724</v>
      </c>
      <c r="I29" s="96" t="s">
        <v>725</v>
      </c>
      <c r="J29" s="364">
        <f>152625185</f>
        <v>152625185</v>
      </c>
      <c r="K29" s="96" t="s">
        <v>52</v>
      </c>
      <c r="P29" s="101"/>
      <c r="Q29" s="4"/>
      <c r="R29" s="20"/>
      <c r="S29" s="4"/>
      <c r="T29" s="20"/>
      <c r="U29" s="4"/>
    </row>
    <row r="30" spans="2:21" x14ac:dyDescent="0.35">
      <c r="B30" s="98" t="str">
        <f>IFERROR(VLOOKUP(Government_revenues_table[[#This Row],[GFS Classification]],[1]!Table6_GFS_codes_classification[#Data],COLUMNS($F:F)+3,FALSE),"Do not enter data")</f>
        <v>Do not enter data</v>
      </c>
      <c r="C30" s="98" t="str">
        <f>IFERROR(VLOOKUP(Government_revenues_table[[#This Row],[GFS Classification]],[1]!Table6_GFS_codes_classification[#Data],COLUMNS($F:G)+3,FALSE),"Do not enter data")</f>
        <v>Do not enter data</v>
      </c>
      <c r="D30" s="98" t="str">
        <f>IFERROR(VLOOKUP(Government_revenues_table[[#This Row],[GFS Classification]],[1]!Table6_GFS_codes_classification[#Data],COLUMNS($F:H)+3,FALSE),"Do not enter data")</f>
        <v>Do not enter data</v>
      </c>
      <c r="E30" s="98" t="str">
        <f>IFERROR(VLOOKUP(Government_revenues_table[[#This Row],[GFS Classification]],[1]!Table6_GFS_codes_classification[#Data],COLUMNS($F:I)+3,FALSE),"Do not enter data")</f>
        <v>Do not enter data</v>
      </c>
      <c r="F30" s="96" t="s">
        <v>726</v>
      </c>
      <c r="G30" s="4" t="s">
        <v>570</v>
      </c>
      <c r="H30" s="96" t="s">
        <v>727</v>
      </c>
      <c r="I30" s="96" t="s">
        <v>725</v>
      </c>
      <c r="J30" s="364">
        <f>-35810449</f>
        <v>-35810449</v>
      </c>
      <c r="K30" s="96" t="s">
        <v>52</v>
      </c>
      <c r="P30" s="549"/>
      <c r="Q30" s="549"/>
      <c r="R30" s="549"/>
      <c r="S30" s="549"/>
      <c r="T30" s="549"/>
      <c r="U30" s="549"/>
    </row>
    <row r="31" spans="2:21" x14ac:dyDescent="0.35">
      <c r="B31" s="98" t="str">
        <f>IFERROR(VLOOKUP(Government_revenues_table[[#This Row],[GFS Classification]],[1]!Table6_GFS_codes_classification[#Data],COLUMNS($F:F)+3,FALSE),"Do not enter data")</f>
        <v>Do not enter data</v>
      </c>
      <c r="C31" s="98" t="str">
        <f>IFERROR(VLOOKUP(Government_revenues_table[[#This Row],[GFS Classification]],[1]!Table6_GFS_codes_classification[#Data],COLUMNS($F:G)+3,FALSE),"Do not enter data")</f>
        <v>Do not enter data</v>
      </c>
      <c r="D31" s="98" t="str">
        <f>IFERROR(VLOOKUP(Government_revenues_table[[#This Row],[GFS Classification]],[1]!Table6_GFS_codes_classification[#Data],COLUMNS($F:H)+3,FALSE),"Do not enter data")</f>
        <v>Do not enter data</v>
      </c>
      <c r="E31" s="98" t="str">
        <f>IFERROR(VLOOKUP(Government_revenues_table[[#This Row],[GFS Classification]],[1]!Table6_GFS_codes_classification[#Data],COLUMNS($F:I)+3,FALSE),"Do not enter data")</f>
        <v>Do not enter data</v>
      </c>
      <c r="F31" s="96" t="s">
        <v>728</v>
      </c>
      <c r="G31" s="96" t="s">
        <v>707</v>
      </c>
      <c r="H31" s="96" t="s">
        <v>729</v>
      </c>
      <c r="I31" s="96" t="s">
        <v>725</v>
      </c>
      <c r="J31" s="364">
        <f>508479411</f>
        <v>508479411</v>
      </c>
      <c r="K31" s="96" t="s">
        <v>52</v>
      </c>
    </row>
    <row r="32" spans="2:21" x14ac:dyDescent="0.35">
      <c r="B32" s="98" t="str">
        <f>IFERROR(VLOOKUP(Government_revenues_table[[#This Row],[GFS Classification]],[1]!Table6_GFS_codes_classification[#Data],COLUMNS($F:F)+3,FALSE),"Do not enter data")</f>
        <v>Do not enter data</v>
      </c>
      <c r="C32" s="98" t="str">
        <f>IFERROR(VLOOKUP(Government_revenues_table[[#This Row],[GFS Classification]],[1]!Table6_GFS_codes_classification[#Data],COLUMNS($F:G)+3,FALSE),"Do not enter data")</f>
        <v>Do not enter data</v>
      </c>
      <c r="D32" s="98" t="str">
        <f>IFERROR(VLOOKUP(Government_revenues_table[[#This Row],[GFS Classification]],[1]!Table6_GFS_codes_classification[#Data],COLUMNS($F:H)+3,FALSE),"Do not enter data")</f>
        <v>Do not enter data</v>
      </c>
      <c r="E32" s="98" t="str">
        <f>IFERROR(VLOOKUP(Government_revenues_table[[#This Row],[GFS Classification]],[1]!Table6_GFS_codes_classification[#Data],COLUMNS($F:I)+3,FALSE),"Do not enter data")</f>
        <v>Do not enter data</v>
      </c>
      <c r="F32" s="96" t="s">
        <v>730</v>
      </c>
      <c r="G32" s="96" t="s">
        <v>707</v>
      </c>
      <c r="H32" s="96" t="s">
        <v>731</v>
      </c>
      <c r="I32" s="96" t="s">
        <v>725</v>
      </c>
      <c r="J32" s="364">
        <f>626729608</f>
        <v>626729608</v>
      </c>
      <c r="K32" s="96" t="s">
        <v>52</v>
      </c>
    </row>
    <row r="33" spans="2:20" x14ac:dyDescent="0.35">
      <c r="B33" s="98" t="str">
        <f>IFERROR(VLOOKUP(Government_revenues_table[[#This Row],[GFS Classification]],[1]!Table6_GFS_codes_classification[#Data],COLUMNS($F:F)+3,FALSE),"Do not enter data")</f>
        <v>Do not enter data</v>
      </c>
      <c r="C33" s="98" t="str">
        <f>IFERROR(VLOOKUP(Government_revenues_table[[#This Row],[GFS Classification]],[1]!Table6_GFS_codes_classification[#Data],COLUMNS($F:G)+3,FALSE),"Do not enter data")</f>
        <v>Do not enter data</v>
      </c>
      <c r="D33" s="98" t="str">
        <f>IFERROR(VLOOKUP(Government_revenues_table[[#This Row],[GFS Classification]],[1]!Table6_GFS_codes_classification[#Data],COLUMNS($F:H)+3,FALSE),"Do not enter data")</f>
        <v>Do not enter data</v>
      </c>
      <c r="E33" s="98" t="str">
        <f>IFERROR(VLOOKUP(Government_revenues_table[[#This Row],[GFS Classification]],[1]!Table6_GFS_codes_classification[#Data],COLUMNS($F:I)+3,FALSE),"Do not enter data")</f>
        <v>Do not enter data</v>
      </c>
      <c r="F33" s="96" t="s">
        <v>732</v>
      </c>
      <c r="G33" s="96" t="s">
        <v>707</v>
      </c>
      <c r="H33" s="96" t="s">
        <v>733</v>
      </c>
      <c r="I33" s="96" t="s">
        <v>725</v>
      </c>
      <c r="J33" s="364">
        <f>3622910</f>
        <v>3622910</v>
      </c>
      <c r="K33" s="96" t="s">
        <v>52</v>
      </c>
      <c r="R33" s="102"/>
    </row>
    <row r="34" spans="2:20" x14ac:dyDescent="0.35">
      <c r="B34" s="98" t="str">
        <f>IFERROR(VLOOKUP(Government_revenues_table[[#This Row],[GFS Classification]],[1]!Table6_GFS_codes_classification[#Data],COLUMNS($F:F)+3,FALSE),"Do not enter data")</f>
        <v>Do not enter data</v>
      </c>
      <c r="C34" s="98" t="str">
        <f>IFERROR(VLOOKUP(Government_revenues_table[[#This Row],[GFS Classification]],[1]!Table6_GFS_codes_classification[#Data],COLUMNS($F:G)+3,FALSE),"Do not enter data")</f>
        <v>Do not enter data</v>
      </c>
      <c r="D34" s="98" t="str">
        <f>IFERROR(VLOOKUP(Government_revenues_table[[#This Row],[GFS Classification]],[1]!Table6_GFS_codes_classification[#Data],COLUMNS($F:H)+3,FALSE),"Do not enter data")</f>
        <v>Do not enter data</v>
      </c>
      <c r="E34" s="98" t="str">
        <f>IFERROR(VLOOKUP(Government_revenues_table[[#This Row],[GFS Classification]],[1]!Table6_GFS_codes_classification[#Data],COLUMNS($F:I)+3,FALSE),"Do not enter data")</f>
        <v>Do not enter data</v>
      </c>
      <c r="F34" s="96" t="s">
        <v>734</v>
      </c>
      <c r="G34" s="96" t="s">
        <v>707</v>
      </c>
      <c r="H34" s="96" t="s">
        <v>735</v>
      </c>
      <c r="I34" s="96" t="s">
        <v>725</v>
      </c>
      <c r="J34" s="364">
        <f>9388369</f>
        <v>9388369</v>
      </c>
      <c r="K34" s="96" t="s">
        <v>52</v>
      </c>
      <c r="R34" s="104"/>
    </row>
    <row r="35" spans="2:20" x14ac:dyDescent="0.35">
      <c r="B35" s="103" t="str">
        <f>IFERROR(VLOOKUP(Government_revenues_table[[#This Row],[GFS Classification]],[1]!Table6_GFS_codes_classification[#Data],COLUMNS($F:F)+3,FALSE),"Do not enter data")</f>
        <v>Do not enter data</v>
      </c>
      <c r="C35" s="103" t="str">
        <f>IFERROR(VLOOKUP(Government_revenues_table[[#This Row],[GFS Classification]],[1]!Table6_GFS_codes_classification[#Data],COLUMNS($F:G)+3,FALSE),"Do not enter data")</f>
        <v>Do not enter data</v>
      </c>
      <c r="D35" s="103" t="str">
        <f>IFERROR(VLOOKUP(Government_revenues_table[[#This Row],[GFS Classification]],[1]!Table6_GFS_codes_classification[#Data],COLUMNS($F:H)+3,FALSE),"Do not enter data")</f>
        <v>Do not enter data</v>
      </c>
      <c r="E35" s="103" t="str">
        <f>IFERROR(VLOOKUP(Government_revenues_table[[#This Row],[GFS Classification]],[1]!Table6_GFS_codes_classification[#Data],COLUMNS($F:I)+3,FALSE),"Do not enter data")</f>
        <v>Do not enter data</v>
      </c>
      <c r="F35" s="96" t="s">
        <v>736</v>
      </c>
      <c r="G35" s="96" t="s">
        <v>707</v>
      </c>
      <c r="H35" s="96" t="s">
        <v>737</v>
      </c>
      <c r="I35" s="96" t="s">
        <v>725</v>
      </c>
      <c r="J35" s="364">
        <f>7648376</f>
        <v>7648376</v>
      </c>
      <c r="K35" s="96" t="s">
        <v>52</v>
      </c>
    </row>
    <row r="36" spans="2:20" x14ac:dyDescent="0.35">
      <c r="B36" s="98" t="str">
        <f>IFERROR(VLOOKUP(Government_revenues_table[[#This Row],[GFS Classification]],[1]!Table6_GFS_codes_classification[#Data],COLUMNS($F:F)+3,FALSE),"Do not enter data")</f>
        <v>Do not enter data</v>
      </c>
      <c r="C36" s="98" t="str">
        <f>IFERROR(VLOOKUP(Government_revenues_table[[#This Row],[GFS Classification]],[1]!Table6_GFS_codes_classification[#Data],COLUMNS($F:G)+3,FALSE),"Do not enter data")</f>
        <v>Do not enter data</v>
      </c>
      <c r="D36" s="98" t="str">
        <f>IFERROR(VLOOKUP(Government_revenues_table[[#This Row],[GFS Classification]],[1]!Table6_GFS_codes_classification[#Data],COLUMNS($F:H)+3,FALSE),"Do not enter data")</f>
        <v>Do not enter data</v>
      </c>
      <c r="E36" s="98" t="str">
        <f>IFERROR(VLOOKUP(Government_revenues_table[[#This Row],[GFS Classification]],[1]!Table6_GFS_codes_classification[#Data],COLUMNS($F:I)+3,FALSE),"Do not enter data")</f>
        <v>Do not enter data</v>
      </c>
      <c r="F36" s="96" t="s">
        <v>714</v>
      </c>
      <c r="G36" s="96" t="s">
        <v>707</v>
      </c>
      <c r="H36" s="96" t="s">
        <v>738</v>
      </c>
      <c r="I36" s="96" t="s">
        <v>725</v>
      </c>
      <c r="J36" s="364">
        <f>3416869</f>
        <v>3416869</v>
      </c>
      <c r="K36" s="96" t="s">
        <v>52</v>
      </c>
    </row>
    <row r="37" spans="2:20" x14ac:dyDescent="0.35">
      <c r="B37" s="98" t="str">
        <f>IFERROR(VLOOKUP(Government_revenues_table[[#This Row],[GFS Classification]],[1]!Table6_GFS_codes_classification[#Data],COLUMNS($F:F)+3,FALSE),"Do not enter data")</f>
        <v>Do not enter data</v>
      </c>
      <c r="C37" s="98" t="str">
        <f>IFERROR(VLOOKUP(Government_revenues_table[[#This Row],[GFS Classification]],[1]!Table6_GFS_codes_classification[#Data],COLUMNS($F:G)+3,FALSE),"Do not enter data")</f>
        <v>Do not enter data</v>
      </c>
      <c r="D37" s="98" t="str">
        <f>IFERROR(VLOOKUP(Government_revenues_table[[#This Row],[GFS Classification]],[1]!Table6_GFS_codes_classification[#Data],COLUMNS($F:H)+3,FALSE),"Do not enter data")</f>
        <v>Do not enter data</v>
      </c>
      <c r="E37" s="98" t="str">
        <f>IFERROR(VLOOKUP(Government_revenues_table[[#This Row],[GFS Classification]],[1]!Table6_GFS_codes_classification[#Data],COLUMNS($F:I)+3,FALSE),"Do not enter data")</f>
        <v>Do not enter data</v>
      </c>
      <c r="F37" s="96" t="s">
        <v>739</v>
      </c>
      <c r="G37" s="96" t="s">
        <v>707</v>
      </c>
      <c r="H37" s="96" t="s">
        <v>740</v>
      </c>
      <c r="I37" s="96" t="s">
        <v>725</v>
      </c>
      <c r="J37" s="364">
        <f>103704461</f>
        <v>103704461</v>
      </c>
      <c r="K37" s="96" t="s">
        <v>52</v>
      </c>
      <c r="T37" s="102"/>
    </row>
    <row r="38" spans="2:20" x14ac:dyDescent="0.35">
      <c r="B38" s="98" t="str">
        <f>IFERROR(VLOOKUP(Government_revenues_table[[#This Row],[GFS Classification]],[1]!Table6_GFS_codes_classification[#Data],COLUMNS($F:F)+3,FALSE),"Do not enter data")</f>
        <v>Do not enter data</v>
      </c>
      <c r="C38" s="98" t="str">
        <f>IFERROR(VLOOKUP(Government_revenues_table[[#This Row],[GFS Classification]],[1]!Table6_GFS_codes_classification[#Data],COLUMNS($F:G)+3,FALSE),"Do not enter data")</f>
        <v>Do not enter data</v>
      </c>
      <c r="D38" s="98" t="str">
        <f>IFERROR(VLOOKUP(Government_revenues_table[[#This Row],[GFS Classification]],[1]!Table6_GFS_codes_classification[#Data],COLUMNS($F:H)+3,FALSE),"Do not enter data")</f>
        <v>Do not enter data</v>
      </c>
      <c r="E38" s="98" t="str">
        <f>IFERROR(VLOOKUP(Government_revenues_table[[#This Row],[GFS Classification]],[1]!Table6_GFS_codes_classification[#Data],COLUMNS($F:I)+3,FALSE),"Do not enter data")</f>
        <v>Do not enter data</v>
      </c>
      <c r="F38" s="96" t="s">
        <v>741</v>
      </c>
      <c r="G38" s="96" t="s">
        <v>707</v>
      </c>
      <c r="H38" s="96" t="s">
        <v>742</v>
      </c>
      <c r="I38" s="96" t="s">
        <v>725</v>
      </c>
      <c r="J38" s="364">
        <f>123638223</f>
        <v>123638223</v>
      </c>
      <c r="K38" s="96" t="s">
        <v>52</v>
      </c>
      <c r="T38" s="104"/>
    </row>
    <row r="39" spans="2:20" x14ac:dyDescent="0.35">
      <c r="B39" s="98" t="str">
        <f>IFERROR(VLOOKUP(Government_revenues_table[[#This Row],[GFS Classification]],[1]!Table6_GFS_codes_classification[#Data],COLUMNS($F:F)+3,FALSE),"Do not enter data")</f>
        <v>Do not enter data</v>
      </c>
      <c r="C39" s="98" t="str">
        <f>IFERROR(VLOOKUP(Government_revenues_table[[#This Row],[GFS Classification]],[1]!Table6_GFS_codes_classification[#Data],COLUMNS($F:G)+3,FALSE),"Do not enter data")</f>
        <v>Do not enter data</v>
      </c>
      <c r="D39" s="98" t="str">
        <f>IFERROR(VLOOKUP(Government_revenues_table[[#This Row],[GFS Classification]],[1]!Table6_GFS_codes_classification[#Data],COLUMNS($F:H)+3,FALSE),"Do not enter data")</f>
        <v>Do not enter data</v>
      </c>
      <c r="E39" s="98" t="str">
        <f>IFERROR(VLOOKUP(Government_revenues_table[[#This Row],[GFS Classification]],[1]!Table6_GFS_codes_classification[#Data],COLUMNS($F:I)+3,FALSE),"Do not enter data")</f>
        <v>Do not enter data</v>
      </c>
      <c r="G39" s="96" t="s">
        <v>743</v>
      </c>
      <c r="H39" s="96" t="s">
        <v>744</v>
      </c>
      <c r="I39" s="96" t="s">
        <v>725</v>
      </c>
      <c r="J39" s="364">
        <f>250358944</f>
        <v>250358944</v>
      </c>
      <c r="K39" s="96" t="s">
        <v>52</v>
      </c>
    </row>
    <row r="40" spans="2:20" x14ac:dyDescent="0.35">
      <c r="B40" s="98" t="str">
        <f>IFERROR(VLOOKUP(Government_revenues_table[[#This Row],[GFS Classification]],[1]!Table6_GFS_codes_classification[#Data],COLUMNS($F:F)+3,FALSE),"Do not enter data")</f>
        <v>Do not enter data</v>
      </c>
      <c r="C40" s="98" t="str">
        <f>IFERROR(VLOOKUP(Government_revenues_table[[#This Row],[GFS Classification]],[1]!Table6_GFS_codes_classification[#Data],COLUMNS($F:G)+3,FALSE),"Do not enter data")</f>
        <v>Do not enter data</v>
      </c>
      <c r="D40" s="98" t="str">
        <f>IFERROR(VLOOKUP(Government_revenues_table[[#This Row],[GFS Classification]],[1]!Table6_GFS_codes_classification[#Data],COLUMNS($F:H)+3,FALSE),"Do not enter data")</f>
        <v>Do not enter data</v>
      </c>
      <c r="E40" s="98" t="str">
        <f>IFERROR(VLOOKUP(Government_revenues_table[[#This Row],[GFS Classification]],[1]!Table6_GFS_codes_classification[#Data],COLUMNS($F:I)+3,FALSE),"Do not enter data")</f>
        <v>Do not enter data</v>
      </c>
      <c r="G40" s="96" t="s">
        <v>743</v>
      </c>
      <c r="H40" s="96" t="s">
        <v>745</v>
      </c>
      <c r="I40" s="96" t="s">
        <v>541</v>
      </c>
      <c r="J40" s="364">
        <f>602762762</f>
        <v>602762762</v>
      </c>
      <c r="K40" s="96" t="s">
        <v>52</v>
      </c>
      <c r="R40" s="102"/>
    </row>
    <row r="41" spans="2:20" x14ac:dyDescent="0.35">
      <c r="B41" s="98" t="str">
        <f>IFERROR(VLOOKUP(Government_revenues_table[[#This Row],[GFS Classification]],[1]!Table6_GFS_codes_classification[#Data],COLUMNS($F:F)+3,FALSE),"Do not enter data")</f>
        <v>Do not enter data</v>
      </c>
      <c r="C41" s="98" t="str">
        <f>IFERROR(VLOOKUP(Government_revenues_table[[#This Row],[GFS Classification]],[1]!Table6_GFS_codes_classification[#Data],COLUMNS($F:G)+3,FALSE),"Do not enter data")</f>
        <v>Do not enter data</v>
      </c>
      <c r="D41" s="98" t="str">
        <f>IFERROR(VLOOKUP(Government_revenues_table[[#This Row],[GFS Classification]],[1]!Table6_GFS_codes_classification[#Data],COLUMNS($F:H)+3,FALSE),"Do not enter data")</f>
        <v>Do not enter data</v>
      </c>
      <c r="E41" s="98" t="str">
        <f>IFERROR(VLOOKUP(Government_revenues_table[[#This Row],[GFS Classification]],[1]!Table6_GFS_codes_classification[#Data],COLUMNS($F:I)+3,FALSE),"Do not enter data")</f>
        <v>Do not enter data</v>
      </c>
      <c r="G41" s="96" t="s">
        <v>743</v>
      </c>
      <c r="H41" s="96" t="s">
        <v>746</v>
      </c>
      <c r="I41" s="96" t="s">
        <v>549</v>
      </c>
      <c r="J41" s="364">
        <f>29282558</f>
        <v>29282558</v>
      </c>
      <c r="K41" s="96" t="s">
        <v>52</v>
      </c>
      <c r="R41" s="104"/>
      <c r="T41" s="102"/>
    </row>
    <row r="42" spans="2:20" x14ac:dyDescent="0.35">
      <c r="B42" s="98" t="str">
        <f>IFERROR(VLOOKUP(Government_revenues_table[[#This Row],[GFS Classification]],[1]!Table6_GFS_codes_classification[#Data],COLUMNS($F:F)+3,FALSE),"Do not enter data")</f>
        <v>Do not enter data</v>
      </c>
      <c r="C42" s="98" t="str">
        <f>IFERROR(VLOOKUP(Government_revenues_table[[#This Row],[GFS Classification]],[1]!Table6_GFS_codes_classification[#Data],COLUMNS($F:G)+3,FALSE),"Do not enter data")</f>
        <v>Do not enter data</v>
      </c>
      <c r="D42" s="98" t="str">
        <f>IFERROR(VLOOKUP(Government_revenues_table[[#This Row],[GFS Classification]],[1]!Table6_GFS_codes_classification[#Data],COLUMNS($F:H)+3,FALSE),"Do not enter data")</f>
        <v>Do not enter data</v>
      </c>
      <c r="E42" s="98" t="str">
        <f>IFERROR(VLOOKUP(Government_revenues_table[[#This Row],[GFS Classification]],[1]!Table6_GFS_codes_classification[#Data],COLUMNS($F:I)+3,FALSE),"Do not enter data")</f>
        <v>Do not enter data</v>
      </c>
      <c r="G42" s="96" t="s">
        <v>743</v>
      </c>
      <c r="H42" s="96" t="s">
        <v>747</v>
      </c>
      <c r="I42" s="96" t="s">
        <v>549</v>
      </c>
      <c r="J42" s="364">
        <f>22196960.44</f>
        <v>22196960.440000001</v>
      </c>
      <c r="K42" s="96" t="s">
        <v>52</v>
      </c>
      <c r="R42" s="104"/>
      <c r="T42" s="104"/>
    </row>
    <row r="43" spans="2:20" x14ac:dyDescent="0.35">
      <c r="B43" s="98" t="str">
        <f>IFERROR(VLOOKUP(Government_revenues_table[[#This Row],[GFS Classification]],[1]!Table6_GFS_codes_classification[#Data],COLUMNS($F:F)+3,FALSE),"Do not enter data")</f>
        <v>Do not enter data</v>
      </c>
      <c r="C43" s="98" t="str">
        <f>IFERROR(VLOOKUP(Government_revenues_table[[#This Row],[GFS Classification]],[1]!Table6_GFS_codes_classification[#Data],COLUMNS($F:G)+3,FALSE),"Do not enter data")</f>
        <v>Do not enter data</v>
      </c>
      <c r="D43" s="98" t="str">
        <f>IFERROR(VLOOKUP(Government_revenues_table[[#This Row],[GFS Classification]],[1]!Table6_GFS_codes_classification[#Data],COLUMNS($F:H)+3,FALSE),"Do not enter data")</f>
        <v>Do not enter data</v>
      </c>
      <c r="E43" s="98" t="str">
        <f>IFERROR(VLOOKUP(Government_revenues_table[[#This Row],[GFS Classification]],[1]!Table6_GFS_codes_classification[#Data],COLUMNS($F:I)+3,FALSE),"Do not enter data")</f>
        <v>Do not enter data</v>
      </c>
      <c r="G43" s="96" t="s">
        <v>570</v>
      </c>
      <c r="H43" s="96" t="s">
        <v>748</v>
      </c>
      <c r="I43" s="96" t="s">
        <v>551</v>
      </c>
      <c r="J43" s="364">
        <f>1379113286</f>
        <v>1379113286</v>
      </c>
      <c r="K43" s="96" t="s">
        <v>52</v>
      </c>
      <c r="R43" s="104"/>
      <c r="T43" s="102"/>
    </row>
    <row r="44" spans="2:20" x14ac:dyDescent="0.35">
      <c r="B44" s="98" t="str">
        <f>IFERROR(VLOOKUP(Government_revenues_table[[#This Row],[GFS Classification]],[1]!Table6_GFS_codes_classification[#Data],COLUMNS($F:F)+3,FALSE),"Do not enter data")</f>
        <v>Do not enter data</v>
      </c>
      <c r="C44" s="98" t="str">
        <f>IFERROR(VLOOKUP(Government_revenues_table[[#This Row],[GFS Classification]],[1]!Table6_GFS_codes_classification[#Data],COLUMNS($F:G)+3,FALSE),"Do not enter data")</f>
        <v>Do not enter data</v>
      </c>
      <c r="D44" s="98" t="str">
        <f>IFERROR(VLOOKUP(Government_revenues_table[[#This Row],[GFS Classification]],[1]!Table6_GFS_codes_classification[#Data],COLUMNS($F:H)+3,FALSE),"Do not enter data")</f>
        <v>Do not enter data</v>
      </c>
      <c r="E44" s="98" t="str">
        <f>IFERROR(VLOOKUP(Government_revenues_table[[#This Row],[GFS Classification]],[1]!Table6_GFS_codes_classification[#Data],COLUMNS($F:I)+3,FALSE),"Do not enter data")</f>
        <v>Do not enter data</v>
      </c>
      <c r="F44" s="105" t="s">
        <v>749</v>
      </c>
      <c r="J44" s="364"/>
      <c r="T44" s="102"/>
    </row>
    <row r="45" spans="2:20" ht="15.6" thickBot="1" x14ac:dyDescent="0.4"/>
    <row r="46" spans="2:20" ht="16.8" thickBot="1" x14ac:dyDescent="0.4">
      <c r="I46" s="106" t="s">
        <v>750</v>
      </c>
      <c r="J46" s="107">
        <f>SUM(J22:J43)</f>
        <v>4364837349.4400005</v>
      </c>
      <c r="T46" s="104"/>
    </row>
    <row r="47" spans="2:20" ht="15.6" thickBot="1" x14ac:dyDescent="0.4">
      <c r="I47" s="108"/>
      <c r="J47" s="102"/>
    </row>
    <row r="48" spans="2:20" ht="16.8" thickBot="1" x14ac:dyDescent="0.4">
      <c r="I48" s="106" t="s">
        <v>751</v>
      </c>
      <c r="J48" s="107">
        <f>1206877527.12</f>
        <v>1206877527.1199999</v>
      </c>
    </row>
    <row r="49" spans="6:20" x14ac:dyDescent="0.35">
      <c r="T49" s="104"/>
    </row>
    <row r="50" spans="6:20" ht="21" customHeight="1" x14ac:dyDescent="0.35">
      <c r="J50" s="365"/>
    </row>
    <row r="52" spans="6:20" ht="24" x14ac:dyDescent="0.35">
      <c r="F52" s="211" t="s">
        <v>752</v>
      </c>
      <c r="G52" s="211"/>
      <c r="H52" s="109"/>
      <c r="I52" s="109"/>
      <c r="J52" s="109"/>
      <c r="K52" s="109"/>
    </row>
    <row r="53" spans="6:20" x14ac:dyDescent="0.35">
      <c r="F53" s="213" t="s">
        <v>753</v>
      </c>
      <c r="G53" s="110"/>
      <c r="H53" s="110"/>
      <c r="I53" s="110"/>
      <c r="J53" s="111"/>
      <c r="K53" s="110"/>
    </row>
    <row r="54" spans="6:20" x14ac:dyDescent="0.35">
      <c r="F54" s="213"/>
      <c r="G54" s="110"/>
      <c r="H54" s="110"/>
      <c r="I54" s="110"/>
      <c r="J54" s="111"/>
      <c r="K54" s="110"/>
    </row>
    <row r="55" spans="6:20" x14ac:dyDescent="0.35">
      <c r="F55" s="213"/>
      <c r="G55" s="110"/>
      <c r="H55" s="110"/>
      <c r="I55" s="110"/>
      <c r="J55" s="111"/>
      <c r="K55" s="110"/>
    </row>
    <row r="56" spans="6:20" x14ac:dyDescent="0.35">
      <c r="F56" s="213" t="s">
        <v>754</v>
      </c>
      <c r="G56" s="110" t="s">
        <v>755</v>
      </c>
      <c r="H56" s="110"/>
      <c r="I56" s="110"/>
      <c r="J56" s="111"/>
      <c r="K56" s="110"/>
    </row>
    <row r="57" spans="6:20" x14ac:dyDescent="0.35">
      <c r="F57" s="213" t="s">
        <v>756</v>
      </c>
      <c r="G57" s="110" t="s">
        <v>757</v>
      </c>
      <c r="H57" s="110"/>
      <c r="I57" s="110"/>
      <c r="J57" s="111"/>
      <c r="K57" s="110"/>
    </row>
    <row r="58" spans="6:20" x14ac:dyDescent="0.35">
      <c r="F58" s="213"/>
      <c r="G58" s="112" t="s">
        <v>562</v>
      </c>
      <c r="H58" s="112" t="s">
        <v>702</v>
      </c>
      <c r="I58" s="112" t="s">
        <v>703</v>
      </c>
      <c r="J58" s="113" t="s">
        <v>704</v>
      </c>
      <c r="K58" s="112" t="s">
        <v>657</v>
      </c>
    </row>
    <row r="59" spans="6:20" x14ac:dyDescent="0.35">
      <c r="F59" s="213"/>
      <c r="G59" s="114" t="s">
        <v>78</v>
      </c>
      <c r="H59" s="114" t="s">
        <v>758</v>
      </c>
      <c r="I59" s="114" t="s">
        <v>553</v>
      </c>
      <c r="J59" s="115">
        <v>7279903613</v>
      </c>
      <c r="K59" s="116" t="s">
        <v>52</v>
      </c>
    </row>
    <row r="60" spans="6:20" x14ac:dyDescent="0.35">
      <c r="F60" s="213"/>
      <c r="G60" s="110"/>
      <c r="H60" s="110"/>
      <c r="I60" s="110"/>
      <c r="J60" s="111"/>
      <c r="K60" s="110"/>
    </row>
    <row r="61" spans="6:20" ht="15.6" thickBot="1" x14ac:dyDescent="0.4">
      <c r="F61" s="213"/>
      <c r="G61" s="117" t="s">
        <v>759</v>
      </c>
      <c r="H61" s="117"/>
      <c r="I61" s="117"/>
      <c r="J61" s="118">
        <f>SUM(J59:J60)</f>
        <v>7279903613</v>
      </c>
      <c r="K61" s="117" t="s">
        <v>52</v>
      </c>
    </row>
    <row r="62" spans="6:20" ht="15.6" thickTop="1" x14ac:dyDescent="0.35">
      <c r="F62" s="213" t="s">
        <v>760</v>
      </c>
      <c r="G62" s="110" t="s">
        <v>761</v>
      </c>
      <c r="H62" s="110"/>
      <c r="I62" s="110"/>
      <c r="J62" s="111"/>
      <c r="K62" s="110"/>
    </row>
    <row r="63" spans="6:20" x14ac:dyDescent="0.35">
      <c r="F63" s="213" t="s">
        <v>762</v>
      </c>
      <c r="G63" s="110" t="s">
        <v>761</v>
      </c>
      <c r="H63" s="110"/>
      <c r="I63" s="110"/>
      <c r="J63" s="111"/>
      <c r="K63" s="110"/>
    </row>
    <row r="64" spans="6:20" x14ac:dyDescent="0.35">
      <c r="F64" s="213" t="s">
        <v>763</v>
      </c>
      <c r="G64" s="110" t="s">
        <v>761</v>
      </c>
      <c r="H64" s="110"/>
      <c r="I64" s="110"/>
      <c r="J64" s="111"/>
      <c r="K64" s="110"/>
    </row>
    <row r="65" spans="6:14" x14ac:dyDescent="0.35">
      <c r="F65" s="213"/>
      <c r="G65" s="110"/>
      <c r="H65" s="110"/>
      <c r="I65" s="110"/>
      <c r="J65" s="111"/>
      <c r="K65" s="110"/>
    </row>
    <row r="66" spans="6:14" x14ac:dyDescent="0.35">
      <c r="F66" s="213"/>
      <c r="G66" s="110"/>
      <c r="H66" s="110"/>
      <c r="I66" s="110"/>
      <c r="J66" s="111"/>
      <c r="K66" s="110"/>
    </row>
    <row r="67" spans="6:14" x14ac:dyDescent="0.35">
      <c r="F67" s="213"/>
      <c r="G67" s="110"/>
      <c r="H67" s="110"/>
      <c r="I67" s="110"/>
      <c r="J67" s="111"/>
      <c r="K67" s="110"/>
    </row>
    <row r="68" spans="6:14" x14ac:dyDescent="0.35">
      <c r="F68" s="213"/>
      <c r="G68" s="110"/>
      <c r="H68" s="110"/>
      <c r="I68" s="110"/>
      <c r="J68" s="111"/>
      <c r="K68" s="110"/>
    </row>
    <row r="69" spans="6:14" x14ac:dyDescent="0.35">
      <c r="F69" s="213"/>
      <c r="G69" s="110"/>
      <c r="H69" s="110"/>
      <c r="I69" s="110"/>
      <c r="J69" s="111"/>
      <c r="K69" s="110"/>
    </row>
    <row r="70" spans="6:14" ht="18.75" customHeight="1" x14ac:dyDescent="0.35">
      <c r="F70" s="213"/>
      <c r="G70" s="110"/>
      <c r="H70" s="110"/>
      <c r="I70" s="110"/>
      <c r="J70" s="111"/>
      <c r="K70" s="110"/>
    </row>
    <row r="71" spans="6:14" ht="15.75" customHeight="1" x14ac:dyDescent="0.35">
      <c r="F71" s="209"/>
      <c r="G71" s="209"/>
      <c r="H71" s="209"/>
      <c r="I71" s="209"/>
      <c r="J71" s="209"/>
      <c r="K71" s="209"/>
    </row>
    <row r="72" spans="6:14" ht="15.6" thickBot="1" x14ac:dyDescent="0.4">
      <c r="F72" s="357"/>
      <c r="G72" s="357"/>
      <c r="H72" s="357"/>
      <c r="I72" s="357"/>
      <c r="J72" s="357"/>
      <c r="K72" s="357"/>
    </row>
    <row r="73" spans="6:14" x14ac:dyDescent="0.35">
      <c r="F73" s="209"/>
      <c r="G73" s="209"/>
      <c r="H73" s="209"/>
      <c r="I73" s="209"/>
      <c r="J73" s="209"/>
      <c r="K73" s="209"/>
    </row>
    <row r="74" spans="6:14" ht="15.6" thickBot="1" x14ac:dyDescent="0.4">
      <c r="F74" s="354"/>
      <c r="G74" s="355"/>
      <c r="H74" s="355"/>
      <c r="I74" s="355"/>
      <c r="J74" s="355"/>
      <c r="K74" s="355"/>
    </row>
    <row r="75" spans="6:14" ht="15.75" customHeight="1" thickBot="1" x14ac:dyDescent="0.4">
      <c r="F75" s="356"/>
      <c r="G75" s="207"/>
      <c r="H75" s="207"/>
      <c r="I75" s="207"/>
      <c r="J75" s="207"/>
      <c r="K75" s="207"/>
      <c r="L75" s="357"/>
      <c r="M75" s="357"/>
      <c r="N75" s="357"/>
    </row>
    <row r="76" spans="6:14" ht="15.6" thickBot="1" x14ac:dyDescent="0.4">
      <c r="F76" s="358"/>
      <c r="G76" s="358"/>
      <c r="H76" s="358"/>
      <c r="I76" s="358"/>
      <c r="J76" s="358"/>
      <c r="K76" s="358"/>
      <c r="L76" s="209"/>
      <c r="M76" s="209"/>
      <c r="N76" s="209"/>
    </row>
    <row r="77" spans="6:14" ht="15.6" thickBot="1" x14ac:dyDescent="0.4">
      <c r="F77" s="203" t="s">
        <v>29</v>
      </c>
      <c r="G77" s="203"/>
      <c r="H77" s="203"/>
      <c r="I77" s="203"/>
      <c r="J77" s="203"/>
      <c r="K77" s="203"/>
      <c r="L77" s="355"/>
      <c r="M77" s="355"/>
      <c r="N77" s="355"/>
    </row>
    <row r="78" spans="6:14" ht="30" x14ac:dyDescent="0.35">
      <c r="F78" s="201" t="s">
        <v>30</v>
      </c>
      <c r="G78" s="201"/>
      <c r="H78" s="201"/>
      <c r="I78" s="201"/>
      <c r="J78" s="201"/>
      <c r="K78" s="201"/>
      <c r="L78" s="207"/>
      <c r="M78" s="207"/>
      <c r="N78" s="207"/>
    </row>
    <row r="79" spans="6:14" ht="15.6" thickBot="1" x14ac:dyDescent="0.4">
      <c r="F79" s="203" t="s">
        <v>684</v>
      </c>
      <c r="G79" s="203"/>
      <c r="H79" s="203"/>
      <c r="I79" s="203"/>
      <c r="J79" s="203"/>
      <c r="K79" s="203"/>
      <c r="L79" s="358"/>
      <c r="M79" s="358"/>
      <c r="N79" s="358"/>
    </row>
    <row r="80" spans="6:14" x14ac:dyDescent="0.35">
      <c r="L80" s="203"/>
      <c r="M80" s="203"/>
      <c r="N80" s="203"/>
    </row>
    <row r="81" spans="12:14" ht="15.75" customHeight="1" x14ac:dyDescent="0.35">
      <c r="L81" s="201"/>
      <c r="M81" s="201"/>
      <c r="N81" s="201"/>
    </row>
    <row r="82" spans="12:14" x14ac:dyDescent="0.35">
      <c r="L82" s="203"/>
      <c r="M82" s="203"/>
      <c r="N82" s="203"/>
    </row>
  </sheetData>
  <sheetProtection insertRows="0"/>
  <protectedRanges>
    <protectedRange algorithmName="SHA-512" hashValue="19r0bVvPR7yZA0UiYij7Tv1CBk3noIABvFePbLhCJ4nk3L6A+Fy+RdPPS3STf+a52x4pG2PQK4FAkXK9epnlIA==" saltValue="gQC4yrLvnbJqxYZ0KSEoZA==" spinCount="100000" sqref="K59 K46 F22:G44 I22:K44" name="Government revenues"/>
  </protectedRanges>
  <mergeCells count="18">
    <mergeCell ref="F13:N13"/>
    <mergeCell ref="F8:N8"/>
    <mergeCell ref="F9:N9"/>
    <mergeCell ref="F10:N10"/>
    <mergeCell ref="F11:N11"/>
    <mergeCell ref="F12:N12"/>
    <mergeCell ref="P30:U30"/>
    <mergeCell ref="F14:N14"/>
    <mergeCell ref="F15:N15"/>
    <mergeCell ref="F16:N16"/>
    <mergeCell ref="F18:K18"/>
    <mergeCell ref="M18:N18"/>
    <mergeCell ref="M19:N19"/>
    <mergeCell ref="F20:K20"/>
    <mergeCell ref="M21:N21"/>
    <mergeCell ref="M22:N25"/>
    <mergeCell ref="M26:N26"/>
    <mergeCell ref="M27:N27"/>
  </mergeCells>
  <hyperlinks>
    <hyperlink ref="M19" r:id="rId1" location="r5-1" display="EITI Requirement 5.1" xr:uid="{B2EF692F-DFC1-444E-BBB3-7007D9E11E40}"/>
    <hyperlink ref="F20" r:id="rId2" location="r4-1" display="EITI Requirement 4.1" xr:uid="{A053EF5E-FD5E-134A-BD13-A4917E76E1E6}"/>
    <hyperlink ref="M27:N27" r:id="rId3" display="or, https://www.imf.org/external/np/sta/gfsm/" xr:uid="{9DF32873-12EA-C146-91E8-EEA5FCCCB07F}"/>
    <hyperlink ref="M26:N26" r:id="rId4" display="For more guidance, please visit https://eiti.org/summary-data-template" xr:uid="{BD5500A9-5BBA-2F4D-B576-9BCC73AA9F73}"/>
  </hyperlinks>
  <pageMargins left="0.7" right="0.7" top="0.75" bottom="0.75" header="0.3" footer="0.3"/>
  <pageSetup paperSize="9" orientation="portrait" r:id="rId5"/>
  <colBreaks count="1" manualBreakCount="1">
    <brk id="12" max="1048575" man="1"/>
  </colBreaks>
  <drawing r:id="rId6"/>
  <tableParts count="1">
    <tablePart r:id="rId7"/>
  </tableParts>
</worksheet>
</file>

<file path=xl/worksheets/sheet15.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026DB-FADC-7F43-B45E-A080393801BB}">
  <sheetPr codeName="Sheet15"/>
  <dimension ref="B2:O197"/>
  <sheetViews>
    <sheetView showGridLines="0" topLeftCell="J1" zoomScale="70" zoomScaleNormal="70" workbookViewId="0">
      <selection activeCell="M169" sqref="M169"/>
    </sheetView>
  </sheetViews>
  <sheetFormatPr defaultColWidth="9" defaultRowHeight="15" x14ac:dyDescent="0.35"/>
  <cols>
    <col min="1" max="1" width="3.8984375" style="108" customWidth="1"/>
    <col min="2" max="2" width="0" style="108" hidden="1" customWidth="1"/>
    <col min="3" max="3" width="27.69921875" style="108" customWidth="1"/>
    <col min="4" max="4" width="31.3984375" style="108" customWidth="1"/>
    <col min="5" max="5" width="41.09765625" style="108" customWidth="1"/>
    <col min="6" max="6" width="27.3984375" style="108" customWidth="1"/>
    <col min="7" max="7" width="28.3984375" style="108" customWidth="1"/>
    <col min="8" max="8" width="22.8984375" style="108" bestFit="1" customWidth="1"/>
    <col min="9" max="9" width="16.59765625" style="108" customWidth="1"/>
    <col min="10" max="10" width="29.3984375" style="108" customWidth="1"/>
    <col min="11" max="11" width="16.59765625" style="108" customWidth="1"/>
    <col min="12" max="12" width="19.59765625" style="108" customWidth="1"/>
    <col min="13" max="13" width="13.69921875" style="108" customWidth="1"/>
    <col min="14" max="14" width="9" style="108" customWidth="1"/>
    <col min="15" max="15" width="17.69921875" style="108" customWidth="1"/>
    <col min="16" max="16" width="4" style="108" customWidth="1"/>
    <col min="17" max="17" width="9" style="108"/>
    <col min="18" max="34" width="15.8984375" style="108" customWidth="1"/>
    <col min="35" max="16384" width="9" style="108"/>
  </cols>
  <sheetData>
    <row r="2" spans="2:15" s="96" customFormat="1" x14ac:dyDescent="0.35">
      <c r="C2" s="542" t="s">
        <v>764</v>
      </c>
      <c r="D2" s="542"/>
      <c r="E2" s="542"/>
      <c r="F2" s="542"/>
      <c r="G2" s="542"/>
      <c r="H2" s="542"/>
      <c r="I2" s="542"/>
      <c r="J2" s="542"/>
      <c r="K2" s="542"/>
      <c r="L2" s="542"/>
      <c r="M2" s="542"/>
      <c r="N2" s="542"/>
      <c r="O2" s="204"/>
    </row>
    <row r="3" spans="2:15" ht="21" customHeight="1" x14ac:dyDescent="0.35">
      <c r="C3" s="568" t="s">
        <v>765</v>
      </c>
      <c r="D3" s="568"/>
      <c r="E3" s="568"/>
      <c r="F3" s="568"/>
      <c r="G3" s="568"/>
      <c r="H3" s="568"/>
      <c r="I3" s="568"/>
      <c r="J3" s="568"/>
      <c r="K3" s="568"/>
      <c r="L3" s="568"/>
      <c r="M3" s="568"/>
      <c r="N3" s="568"/>
      <c r="O3" s="214"/>
    </row>
    <row r="4" spans="2:15" s="96" customFormat="1" ht="15.75" customHeight="1" x14ac:dyDescent="0.35">
      <c r="C4" s="569" t="s">
        <v>766</v>
      </c>
      <c r="D4" s="569"/>
      <c r="E4" s="569"/>
      <c r="F4" s="569"/>
      <c r="G4" s="569"/>
      <c r="H4" s="569"/>
      <c r="I4" s="569"/>
      <c r="J4" s="569"/>
      <c r="K4" s="569"/>
      <c r="L4" s="569"/>
      <c r="M4" s="569"/>
      <c r="N4" s="569"/>
      <c r="O4" s="215"/>
    </row>
    <row r="5" spans="2:15" s="96" customFormat="1" ht="15.75" customHeight="1" x14ac:dyDescent="0.35">
      <c r="C5" s="569" t="s">
        <v>767</v>
      </c>
      <c r="D5" s="569"/>
      <c r="E5" s="569"/>
      <c r="F5" s="569"/>
      <c r="G5" s="569"/>
      <c r="H5" s="569"/>
      <c r="I5" s="569"/>
      <c r="J5" s="569"/>
      <c r="K5" s="569"/>
      <c r="L5" s="569"/>
      <c r="M5" s="569"/>
      <c r="N5" s="569"/>
      <c r="O5" s="215"/>
    </row>
    <row r="6" spans="2:15" s="96" customFormat="1" ht="15.75" customHeight="1" x14ac:dyDescent="0.35">
      <c r="C6" s="569" t="s">
        <v>768</v>
      </c>
      <c r="D6" s="569"/>
      <c r="E6" s="569"/>
      <c r="F6" s="569"/>
      <c r="G6" s="569"/>
      <c r="H6" s="569"/>
      <c r="I6" s="569"/>
      <c r="J6" s="569"/>
      <c r="K6" s="569"/>
      <c r="L6" s="569"/>
      <c r="M6" s="569"/>
      <c r="N6" s="569"/>
      <c r="O6" s="215"/>
    </row>
    <row r="7" spans="2:15" s="96" customFormat="1" ht="15.75" customHeight="1" x14ac:dyDescent="0.35">
      <c r="C7" s="569" t="s">
        <v>769</v>
      </c>
      <c r="D7" s="569"/>
      <c r="E7" s="569"/>
      <c r="F7" s="569"/>
      <c r="G7" s="569"/>
      <c r="H7" s="569"/>
      <c r="I7" s="569"/>
      <c r="J7" s="569"/>
      <c r="K7" s="569"/>
      <c r="L7" s="569"/>
      <c r="M7" s="569"/>
      <c r="N7" s="569"/>
      <c r="O7" s="215"/>
    </row>
    <row r="8" spans="2:15" s="96" customFormat="1" ht="15.75" customHeight="1" x14ac:dyDescent="0.35">
      <c r="C8" s="569" t="s">
        <v>770</v>
      </c>
      <c r="D8" s="569"/>
      <c r="E8" s="569"/>
      <c r="F8" s="569"/>
      <c r="G8" s="569"/>
      <c r="H8" s="569"/>
      <c r="I8" s="569"/>
      <c r="J8" s="569"/>
      <c r="K8" s="569"/>
      <c r="L8" s="569"/>
      <c r="M8" s="569"/>
      <c r="N8" s="569"/>
      <c r="O8" s="215"/>
    </row>
    <row r="9" spans="2:15" s="96" customFormat="1" x14ac:dyDescent="0.35">
      <c r="C9" s="570" t="s">
        <v>38</v>
      </c>
      <c r="D9" s="570"/>
      <c r="E9" s="570"/>
      <c r="F9" s="570"/>
      <c r="G9" s="570"/>
      <c r="H9" s="570"/>
      <c r="I9" s="570"/>
      <c r="J9" s="570"/>
      <c r="K9" s="570"/>
      <c r="L9" s="570"/>
      <c r="M9" s="570"/>
      <c r="N9" s="570"/>
      <c r="O9" s="210"/>
    </row>
    <row r="10" spans="2:15" x14ac:dyDescent="0.35">
      <c r="C10" s="571"/>
      <c r="D10" s="571"/>
      <c r="E10" s="571"/>
      <c r="F10" s="571"/>
      <c r="G10" s="571"/>
      <c r="H10" s="571"/>
      <c r="I10" s="571"/>
      <c r="J10" s="571"/>
      <c r="K10" s="571"/>
      <c r="L10" s="571"/>
      <c r="M10" s="571"/>
      <c r="N10" s="571"/>
    </row>
    <row r="11" spans="2:15" ht="24" x14ac:dyDescent="0.35">
      <c r="C11" s="546" t="s">
        <v>771</v>
      </c>
      <c r="D11" s="546"/>
      <c r="E11" s="546"/>
      <c r="F11" s="546"/>
      <c r="G11" s="546"/>
      <c r="H11" s="546"/>
      <c r="I11" s="546"/>
      <c r="J11" s="546"/>
      <c r="K11" s="546"/>
      <c r="L11" s="546"/>
      <c r="M11" s="546"/>
      <c r="N11" s="546"/>
      <c r="O11" s="208"/>
    </row>
    <row r="12" spans="2:15" s="96" customFormat="1" ht="14.25" customHeight="1" x14ac:dyDescent="0.35"/>
    <row r="13" spans="2:15" s="96" customFormat="1" ht="15.75" customHeight="1" x14ac:dyDescent="0.35">
      <c r="B13" s="556" t="s">
        <v>772</v>
      </c>
      <c r="C13" s="556"/>
      <c r="D13" s="556"/>
      <c r="E13" s="556"/>
      <c r="F13" s="556"/>
      <c r="G13" s="556"/>
      <c r="H13" s="556"/>
      <c r="I13" s="556"/>
      <c r="J13" s="556"/>
      <c r="K13" s="556"/>
      <c r="L13" s="556"/>
      <c r="M13" s="556"/>
      <c r="N13" s="556"/>
      <c r="O13" s="212"/>
    </row>
    <row r="14" spans="2:15" s="96" customFormat="1" ht="60" x14ac:dyDescent="0.35">
      <c r="B14" s="96" t="s">
        <v>562</v>
      </c>
      <c r="C14" s="367" t="s">
        <v>773</v>
      </c>
      <c r="D14" s="367" t="s">
        <v>703</v>
      </c>
      <c r="E14" s="367" t="s">
        <v>702</v>
      </c>
      <c r="F14" s="367" t="s">
        <v>774</v>
      </c>
      <c r="G14" s="367" t="s">
        <v>775</v>
      </c>
      <c r="H14" s="367" t="s">
        <v>776</v>
      </c>
      <c r="I14" s="374" t="s">
        <v>777</v>
      </c>
      <c r="J14" s="367" t="s">
        <v>704</v>
      </c>
      <c r="K14" s="367" t="s">
        <v>778</v>
      </c>
      <c r="L14" s="367" t="s">
        <v>779</v>
      </c>
      <c r="M14" s="367" t="s">
        <v>780</v>
      </c>
      <c r="N14" s="367" t="s">
        <v>781</v>
      </c>
      <c r="O14" s="374" t="s">
        <v>782</v>
      </c>
    </row>
    <row r="15" spans="2:15" s="96" customFormat="1" x14ac:dyDescent="0.35">
      <c r="B15" s="96" t="e">
        <f>VLOOKUP(C15,[1]!Companies[#Data],3,FALSE)</f>
        <v>#REF!</v>
      </c>
      <c r="C15" s="96" t="s">
        <v>659</v>
      </c>
      <c r="D15" s="96" t="s">
        <v>725</v>
      </c>
      <c r="E15" s="96" t="s">
        <v>783</v>
      </c>
      <c r="F15" s="96" t="s">
        <v>58</v>
      </c>
      <c r="G15" s="96" t="s">
        <v>58</v>
      </c>
      <c r="H15" s="96" t="s">
        <v>658</v>
      </c>
      <c r="I15" s="96" t="s">
        <v>52</v>
      </c>
      <c r="J15" s="372">
        <f>44144781</f>
        <v>44144781</v>
      </c>
      <c r="K15" s="105" t="s">
        <v>461</v>
      </c>
      <c r="L15" s="105" t="s">
        <v>461</v>
      </c>
      <c r="M15" s="105" t="s">
        <v>461</v>
      </c>
      <c r="O15" s="159"/>
    </row>
    <row r="16" spans="2:15" s="96" customFormat="1" x14ac:dyDescent="0.35">
      <c r="B16" s="96" t="e">
        <f>VLOOKUP(C16,[1]!Companies[#Data],3,FALSE)</f>
        <v>#REF!</v>
      </c>
      <c r="C16" s="96" t="s">
        <v>659</v>
      </c>
      <c r="D16" s="96" t="s">
        <v>725</v>
      </c>
      <c r="E16" s="96" t="s">
        <v>784</v>
      </c>
      <c r="F16" s="96" t="s">
        <v>58</v>
      </c>
      <c r="G16" s="96" t="s">
        <v>58</v>
      </c>
      <c r="H16" s="96" t="s">
        <v>658</v>
      </c>
      <c r="I16" s="96" t="s">
        <v>52</v>
      </c>
      <c r="J16" s="372">
        <f>123175931</f>
        <v>123175931</v>
      </c>
      <c r="K16" s="105" t="s">
        <v>461</v>
      </c>
      <c r="L16" s="105" t="s">
        <v>461</v>
      </c>
      <c r="M16" s="105" t="s">
        <v>461</v>
      </c>
      <c r="O16" s="159"/>
    </row>
    <row r="17" spans="2:15" s="96" customFormat="1" x14ac:dyDescent="0.35">
      <c r="B17" s="96" t="e">
        <f>VLOOKUP(C17,[1]!Companies[#Data],3,FALSE)</f>
        <v>#REF!</v>
      </c>
      <c r="C17" s="96" t="s">
        <v>659</v>
      </c>
      <c r="D17" s="96" t="s">
        <v>725</v>
      </c>
      <c r="E17" s="96" t="s">
        <v>785</v>
      </c>
      <c r="F17" s="96" t="s">
        <v>58</v>
      </c>
      <c r="G17" s="96" t="s">
        <v>58</v>
      </c>
      <c r="H17" s="96" t="s">
        <v>658</v>
      </c>
      <c r="I17" s="96" t="s">
        <v>52</v>
      </c>
      <c r="J17" s="372">
        <f>16744498.31</f>
        <v>16744498.310000001</v>
      </c>
      <c r="K17" s="105" t="s">
        <v>461</v>
      </c>
      <c r="L17" s="105" t="s">
        <v>461</v>
      </c>
      <c r="M17" s="105" t="s">
        <v>461</v>
      </c>
      <c r="O17" s="159"/>
    </row>
    <row r="18" spans="2:15" s="96" customFormat="1" x14ac:dyDescent="0.35">
      <c r="B18" s="96" t="e">
        <f>VLOOKUP(C18,[1]!Companies[#Data],3,FALSE)</f>
        <v>#REF!</v>
      </c>
      <c r="C18" s="96" t="s">
        <v>659</v>
      </c>
      <c r="D18" s="96" t="s">
        <v>725</v>
      </c>
      <c r="E18" s="96" t="s">
        <v>744</v>
      </c>
      <c r="F18" s="96" t="s">
        <v>58</v>
      </c>
      <c r="G18" s="96" t="s">
        <v>58</v>
      </c>
      <c r="H18" s="96" t="s">
        <v>658</v>
      </c>
      <c r="I18" s="96" t="s">
        <v>52</v>
      </c>
      <c r="J18" s="372">
        <f>26692611</f>
        <v>26692611</v>
      </c>
      <c r="K18" s="105" t="s">
        <v>461</v>
      </c>
      <c r="L18" s="105" t="s">
        <v>461</v>
      </c>
      <c r="M18" s="105" t="s">
        <v>461</v>
      </c>
      <c r="O18" s="159"/>
    </row>
    <row r="19" spans="2:15" s="96" customFormat="1" x14ac:dyDescent="0.35">
      <c r="B19" s="96" t="e">
        <f>VLOOKUP(C19,[1]!Companies[#Data],3,FALSE)</f>
        <v>#REF!</v>
      </c>
      <c r="C19" s="96" t="s">
        <v>659</v>
      </c>
      <c r="D19" s="96" t="s">
        <v>725</v>
      </c>
      <c r="E19" s="96" t="s">
        <v>786</v>
      </c>
      <c r="F19" s="96" t="s">
        <v>58</v>
      </c>
      <c r="G19" s="96" t="s">
        <v>58</v>
      </c>
      <c r="H19" s="96" t="s">
        <v>658</v>
      </c>
      <c r="I19" s="96" t="s">
        <v>52</v>
      </c>
      <c r="J19" s="372">
        <f>414897</f>
        <v>414897</v>
      </c>
      <c r="K19" s="105" t="s">
        <v>461</v>
      </c>
      <c r="L19" s="105" t="s">
        <v>461</v>
      </c>
      <c r="M19" s="105" t="s">
        <v>461</v>
      </c>
      <c r="O19" s="159"/>
    </row>
    <row r="20" spans="2:15" s="96" customFormat="1" x14ac:dyDescent="0.35">
      <c r="B20" s="96" t="e">
        <f>VLOOKUP(C20,[1]!Companies[#Data],3,FALSE)</f>
        <v>#REF!</v>
      </c>
      <c r="C20" s="96" t="s">
        <v>659</v>
      </c>
      <c r="D20" s="96" t="s">
        <v>725</v>
      </c>
      <c r="E20" s="96" t="s">
        <v>787</v>
      </c>
      <c r="F20" s="96" t="s">
        <v>58</v>
      </c>
      <c r="G20" s="96" t="s">
        <v>58</v>
      </c>
      <c r="H20" s="96" t="s">
        <v>658</v>
      </c>
      <c r="I20" s="96" t="s">
        <v>52</v>
      </c>
      <c r="J20" s="372">
        <f>2626051.09</f>
        <v>2626051.09</v>
      </c>
      <c r="K20" s="105" t="s">
        <v>461</v>
      </c>
      <c r="L20" s="105" t="s">
        <v>461</v>
      </c>
      <c r="M20" s="105" t="s">
        <v>461</v>
      </c>
      <c r="O20" s="159"/>
    </row>
    <row r="21" spans="2:15" s="96" customFormat="1" x14ac:dyDescent="0.35">
      <c r="B21" s="96" t="e">
        <f>VLOOKUP(C21,[1]!Companies[#Data],3,FALSE)</f>
        <v>#REF!</v>
      </c>
      <c r="C21" s="96" t="s">
        <v>659</v>
      </c>
      <c r="D21" s="96" t="s">
        <v>725</v>
      </c>
      <c r="E21" s="96" t="s">
        <v>788</v>
      </c>
      <c r="F21" s="96" t="s">
        <v>58</v>
      </c>
      <c r="G21" s="96" t="s">
        <v>58</v>
      </c>
      <c r="H21" s="96" t="s">
        <v>658</v>
      </c>
      <c r="I21" s="96" t="s">
        <v>52</v>
      </c>
      <c r="J21" s="372">
        <f>876761.55</f>
        <v>876761.55</v>
      </c>
      <c r="K21" s="105" t="s">
        <v>461</v>
      </c>
      <c r="L21" s="105" t="s">
        <v>461</v>
      </c>
      <c r="M21" s="105" t="s">
        <v>461</v>
      </c>
      <c r="O21" s="159"/>
    </row>
    <row r="22" spans="2:15" s="96" customFormat="1" x14ac:dyDescent="0.35">
      <c r="B22" s="96" t="e">
        <f>VLOOKUP(C22,[1]!Companies[#Data],3,FALSE)</f>
        <v>#REF!</v>
      </c>
      <c r="C22" s="96" t="s">
        <v>659</v>
      </c>
      <c r="D22" s="96" t="s">
        <v>725</v>
      </c>
      <c r="E22" s="96" t="s">
        <v>789</v>
      </c>
      <c r="F22" s="96" t="s">
        <v>58</v>
      </c>
      <c r="G22" s="96" t="s">
        <v>58</v>
      </c>
      <c r="H22" s="96" t="s">
        <v>658</v>
      </c>
      <c r="I22" s="96" t="s">
        <v>52</v>
      </c>
      <c r="J22" s="372">
        <f>-57843948.4</f>
        <v>-57843948.399999999</v>
      </c>
      <c r="K22" s="105" t="s">
        <v>461</v>
      </c>
      <c r="L22" s="105" t="s">
        <v>461</v>
      </c>
      <c r="M22" s="105" t="s">
        <v>461</v>
      </c>
      <c r="O22" s="159"/>
    </row>
    <row r="23" spans="2:15" s="96" customFormat="1" x14ac:dyDescent="0.35">
      <c r="B23" s="96" t="e">
        <f>VLOOKUP(C23,[1]!Companies[#Data],3,FALSE)</f>
        <v>#REF!</v>
      </c>
      <c r="C23" s="96" t="s">
        <v>659</v>
      </c>
      <c r="D23" s="96" t="s">
        <v>713</v>
      </c>
      <c r="E23" s="96" t="s">
        <v>790</v>
      </c>
      <c r="F23" s="96" t="s">
        <v>58</v>
      </c>
      <c r="G23" s="96" t="s">
        <v>58</v>
      </c>
      <c r="H23" s="96" t="s">
        <v>658</v>
      </c>
      <c r="I23" s="96" t="s">
        <v>52</v>
      </c>
      <c r="J23" s="372">
        <f>9998996</f>
        <v>9998996</v>
      </c>
      <c r="K23" s="105" t="s">
        <v>461</v>
      </c>
      <c r="L23" s="105" t="s">
        <v>461</v>
      </c>
      <c r="M23" s="105" t="s">
        <v>461</v>
      </c>
      <c r="O23" s="159"/>
    </row>
    <row r="24" spans="2:15" s="96" customFormat="1" x14ac:dyDescent="0.35">
      <c r="B24" s="96" t="e">
        <f>VLOOKUP(C24,[1]!Companies[#Data],3,FALSE)</f>
        <v>#REF!</v>
      </c>
      <c r="C24" s="96" t="s">
        <v>659</v>
      </c>
      <c r="D24" s="96" t="s">
        <v>713</v>
      </c>
      <c r="E24" s="96" t="s">
        <v>791</v>
      </c>
      <c r="F24" s="96" t="s">
        <v>58</v>
      </c>
      <c r="G24" s="96" t="s">
        <v>58</v>
      </c>
      <c r="H24" s="96" t="s">
        <v>658</v>
      </c>
      <c r="I24" s="96" t="s">
        <v>52</v>
      </c>
      <c r="J24" s="372">
        <f>67115581.33</f>
        <v>67115581.329999998</v>
      </c>
      <c r="K24" s="105" t="s">
        <v>461</v>
      </c>
      <c r="L24" s="105" t="s">
        <v>461</v>
      </c>
      <c r="M24" s="105" t="s">
        <v>461</v>
      </c>
      <c r="O24" s="159"/>
    </row>
    <row r="25" spans="2:15" s="96" customFormat="1" x14ac:dyDescent="0.35">
      <c r="B25" s="96" t="e">
        <f>VLOOKUP(C25,[1]!Companies[#Data],3,FALSE)</f>
        <v>#REF!</v>
      </c>
      <c r="C25" s="96" t="s">
        <v>659</v>
      </c>
      <c r="D25" s="96" t="s">
        <v>713</v>
      </c>
      <c r="E25" s="96" t="s">
        <v>792</v>
      </c>
      <c r="F25" s="96" t="s">
        <v>58</v>
      </c>
      <c r="G25" s="96" t="s">
        <v>58</v>
      </c>
      <c r="H25" s="96" t="s">
        <v>658</v>
      </c>
      <c r="I25" s="96" t="s">
        <v>52</v>
      </c>
      <c r="J25" s="372">
        <f>15939951</f>
        <v>15939951</v>
      </c>
      <c r="K25" s="105" t="s">
        <v>461</v>
      </c>
      <c r="L25" s="105" t="s">
        <v>461</v>
      </c>
      <c r="M25" s="105" t="s">
        <v>461</v>
      </c>
      <c r="O25" s="159"/>
    </row>
    <row r="26" spans="2:15" s="96" customFormat="1" x14ac:dyDescent="0.35">
      <c r="B26" s="96" t="e">
        <f>VLOOKUP(C26,[1]!Companies[#Data],3,FALSE)</f>
        <v>#REF!</v>
      </c>
      <c r="C26" s="96" t="s">
        <v>659</v>
      </c>
      <c r="D26" s="96" t="s">
        <v>549</v>
      </c>
      <c r="E26" s="96" t="s">
        <v>746</v>
      </c>
      <c r="F26" s="96" t="s">
        <v>58</v>
      </c>
      <c r="G26" s="96" t="s">
        <v>58</v>
      </c>
      <c r="H26" s="96" t="s">
        <v>658</v>
      </c>
      <c r="I26" s="96" t="s">
        <v>52</v>
      </c>
      <c r="J26" s="372">
        <f>5067171.21</f>
        <v>5067171.21</v>
      </c>
      <c r="K26" s="105" t="s">
        <v>461</v>
      </c>
      <c r="L26" s="105" t="s">
        <v>461</v>
      </c>
      <c r="M26" s="105" t="s">
        <v>461</v>
      </c>
      <c r="O26" s="159"/>
    </row>
    <row r="27" spans="2:15" s="96" customFormat="1" x14ac:dyDescent="0.35">
      <c r="B27" s="96" t="e">
        <f>VLOOKUP(C27,[1]!Companies[#Data],3,FALSE)</f>
        <v>#REF!</v>
      </c>
      <c r="C27" s="96" t="s">
        <v>659</v>
      </c>
      <c r="D27" s="96" t="s">
        <v>549</v>
      </c>
      <c r="E27" s="96" t="s">
        <v>793</v>
      </c>
      <c r="F27" s="96" t="s">
        <v>58</v>
      </c>
      <c r="G27" s="96" t="s">
        <v>58</v>
      </c>
      <c r="H27" s="96" t="s">
        <v>658</v>
      </c>
      <c r="I27" s="96" t="s">
        <v>52</v>
      </c>
      <c r="J27" s="372">
        <f>5790847.2</f>
        <v>5790847.2000000002</v>
      </c>
      <c r="K27" s="105" t="s">
        <v>461</v>
      </c>
      <c r="L27" s="105" t="s">
        <v>461</v>
      </c>
      <c r="M27" s="105" t="s">
        <v>461</v>
      </c>
      <c r="O27" s="159"/>
    </row>
    <row r="28" spans="2:15" s="96" customFormat="1" x14ac:dyDescent="0.35">
      <c r="B28" s="96" t="e">
        <f>VLOOKUP(C28,[1]!Companies[#Data],3,FALSE)</f>
        <v>#REF!</v>
      </c>
      <c r="C28" s="96" t="s">
        <v>659</v>
      </c>
      <c r="D28" s="96" t="s">
        <v>794</v>
      </c>
      <c r="E28" s="96" t="s">
        <v>795</v>
      </c>
      <c r="F28" s="96" t="s">
        <v>58</v>
      </c>
      <c r="G28" s="96" t="s">
        <v>58</v>
      </c>
      <c r="H28" s="96" t="s">
        <v>658</v>
      </c>
      <c r="I28" s="96" t="s">
        <v>52</v>
      </c>
      <c r="J28" s="372">
        <f>136916</f>
        <v>136916</v>
      </c>
      <c r="K28" s="105" t="s">
        <v>461</v>
      </c>
      <c r="L28" s="105" t="s">
        <v>461</v>
      </c>
      <c r="M28" s="105" t="s">
        <v>461</v>
      </c>
      <c r="O28" s="159"/>
    </row>
    <row r="29" spans="2:15" s="96" customFormat="1" x14ac:dyDescent="0.35">
      <c r="B29" s="96" t="e">
        <f>VLOOKUP(C29,[1]!Companies[#Data],3,FALSE)</f>
        <v>#REF!</v>
      </c>
      <c r="C29" s="96" t="s">
        <v>659</v>
      </c>
      <c r="D29" s="96" t="s">
        <v>796</v>
      </c>
      <c r="E29" s="96" t="s">
        <v>797</v>
      </c>
      <c r="F29" s="96" t="s">
        <v>58</v>
      </c>
      <c r="G29" s="96" t="s">
        <v>58</v>
      </c>
      <c r="H29" s="96" t="s">
        <v>658</v>
      </c>
      <c r="I29" s="96" t="s">
        <v>52</v>
      </c>
      <c r="J29" s="372">
        <f>1054053</f>
        <v>1054053</v>
      </c>
      <c r="K29" s="105" t="s">
        <v>461</v>
      </c>
      <c r="L29" s="105" t="s">
        <v>461</v>
      </c>
      <c r="M29" s="105" t="s">
        <v>461</v>
      </c>
      <c r="O29" s="159"/>
    </row>
    <row r="30" spans="2:15" s="96" customFormat="1" x14ac:dyDescent="0.35">
      <c r="B30" s="96" t="e">
        <f>VLOOKUP(C30,[1]!Companies[#Data],3,FALSE)</f>
        <v>#REF!</v>
      </c>
      <c r="C30" s="96" t="s">
        <v>798</v>
      </c>
      <c r="D30" s="96" t="s">
        <v>725</v>
      </c>
      <c r="E30" s="96" t="s">
        <v>783</v>
      </c>
      <c r="F30" s="96" t="s">
        <v>58</v>
      </c>
      <c r="G30" s="96" t="s">
        <v>58</v>
      </c>
      <c r="H30" s="96" t="s">
        <v>664</v>
      </c>
      <c r="I30" s="96" t="s">
        <v>52</v>
      </c>
      <c r="J30" s="372">
        <f>14819168.08</f>
        <v>14819168.08</v>
      </c>
      <c r="K30" s="105" t="s">
        <v>461</v>
      </c>
      <c r="L30" s="105" t="s">
        <v>461</v>
      </c>
      <c r="M30" s="105" t="s">
        <v>461</v>
      </c>
      <c r="O30" s="159"/>
    </row>
    <row r="31" spans="2:15" s="96" customFormat="1" x14ac:dyDescent="0.35">
      <c r="B31" s="96" t="e">
        <f>VLOOKUP(C31,[1]!Companies[#Data],3,FALSE)</f>
        <v>#REF!</v>
      </c>
      <c r="C31" s="96" t="s">
        <v>798</v>
      </c>
      <c r="D31" s="96" t="s">
        <v>725</v>
      </c>
      <c r="E31" s="96" t="s">
        <v>784</v>
      </c>
      <c r="F31" s="96" t="s">
        <v>58</v>
      </c>
      <c r="G31" s="96" t="s">
        <v>58</v>
      </c>
      <c r="H31" s="96" t="s">
        <v>664</v>
      </c>
      <c r="I31" s="96" t="s">
        <v>52</v>
      </c>
      <c r="J31" s="372">
        <f>46693171.6</f>
        <v>46693171.600000001</v>
      </c>
      <c r="K31" s="105" t="s">
        <v>461</v>
      </c>
      <c r="L31" s="105" t="s">
        <v>461</v>
      </c>
      <c r="M31" s="105" t="s">
        <v>461</v>
      </c>
      <c r="O31" s="159"/>
    </row>
    <row r="32" spans="2:15" s="96" customFormat="1" x14ac:dyDescent="0.35">
      <c r="B32" s="96" t="e">
        <f>VLOOKUP(C32,[1]!Companies[#Data],3,FALSE)</f>
        <v>#REF!</v>
      </c>
      <c r="C32" s="96" t="s">
        <v>798</v>
      </c>
      <c r="D32" s="96" t="s">
        <v>725</v>
      </c>
      <c r="E32" s="96" t="s">
        <v>785</v>
      </c>
      <c r="F32" s="96" t="s">
        <v>58</v>
      </c>
      <c r="G32" s="96" t="s">
        <v>58</v>
      </c>
      <c r="H32" s="96" t="s">
        <v>664</v>
      </c>
      <c r="I32" s="96" t="s">
        <v>52</v>
      </c>
      <c r="J32" s="372">
        <v>8668597.1199999992</v>
      </c>
      <c r="K32" s="105" t="s">
        <v>461</v>
      </c>
      <c r="L32" s="105" t="s">
        <v>461</v>
      </c>
      <c r="M32" s="105" t="s">
        <v>461</v>
      </c>
      <c r="O32" s="159"/>
    </row>
    <row r="33" spans="2:15" s="96" customFormat="1" x14ac:dyDescent="0.35">
      <c r="B33" s="96" t="e">
        <f>VLOOKUP(C33,[1]!Companies[#Data],3,FALSE)</f>
        <v>#REF!</v>
      </c>
      <c r="C33" s="96" t="s">
        <v>798</v>
      </c>
      <c r="D33" s="96" t="s">
        <v>725</v>
      </c>
      <c r="E33" s="96" t="s">
        <v>787</v>
      </c>
      <c r="F33" s="96" t="s">
        <v>58</v>
      </c>
      <c r="G33" s="96" t="s">
        <v>58</v>
      </c>
      <c r="H33" s="96" t="s">
        <v>664</v>
      </c>
      <c r="I33" s="96" t="s">
        <v>52</v>
      </c>
      <c r="J33" s="372">
        <f>39000</f>
        <v>39000</v>
      </c>
      <c r="K33" s="105" t="s">
        <v>461</v>
      </c>
      <c r="L33" s="105" t="s">
        <v>461</v>
      </c>
      <c r="M33" s="105" t="s">
        <v>461</v>
      </c>
      <c r="O33" s="159"/>
    </row>
    <row r="34" spans="2:15" s="96" customFormat="1" x14ac:dyDescent="0.35">
      <c r="B34" s="96" t="e">
        <f>VLOOKUP(C34,[1]!Companies[#Data],3,FALSE)</f>
        <v>#REF!</v>
      </c>
      <c r="C34" s="96" t="s">
        <v>798</v>
      </c>
      <c r="D34" s="96" t="s">
        <v>725</v>
      </c>
      <c r="E34" s="96" t="s">
        <v>788</v>
      </c>
      <c r="F34" s="96" t="s">
        <v>58</v>
      </c>
      <c r="G34" s="96" t="s">
        <v>58</v>
      </c>
      <c r="H34" s="96" t="s">
        <v>664</v>
      </c>
      <c r="I34" s="96" t="s">
        <v>52</v>
      </c>
      <c r="J34" s="372">
        <f>1593836.61</f>
        <v>1593836.61</v>
      </c>
      <c r="K34" s="105" t="s">
        <v>461</v>
      </c>
      <c r="L34" s="105" t="s">
        <v>461</v>
      </c>
      <c r="M34" s="105" t="s">
        <v>461</v>
      </c>
      <c r="O34" s="159"/>
    </row>
    <row r="35" spans="2:15" s="96" customFormat="1" x14ac:dyDescent="0.35">
      <c r="B35" s="96" t="e">
        <f>VLOOKUP(C35,[1]!Companies[#Data],3,FALSE)</f>
        <v>#REF!</v>
      </c>
      <c r="C35" s="96" t="s">
        <v>798</v>
      </c>
      <c r="D35" s="96" t="s">
        <v>725</v>
      </c>
      <c r="E35" s="96" t="s">
        <v>789</v>
      </c>
      <c r="F35" s="96" t="s">
        <v>58</v>
      </c>
      <c r="G35" s="96" t="s">
        <v>58</v>
      </c>
      <c r="H35" s="96" t="s">
        <v>664</v>
      </c>
      <c r="I35" s="96" t="s">
        <v>52</v>
      </c>
      <c r="J35" s="372">
        <f>397645.54</f>
        <v>397645.54</v>
      </c>
      <c r="K35" s="105" t="s">
        <v>461</v>
      </c>
      <c r="L35" s="105" t="s">
        <v>461</v>
      </c>
      <c r="M35" s="105" t="s">
        <v>461</v>
      </c>
      <c r="O35" s="159"/>
    </row>
    <row r="36" spans="2:15" s="96" customFormat="1" x14ac:dyDescent="0.35">
      <c r="B36" s="96" t="e">
        <f>VLOOKUP(C36,[1]!Companies[#Data],3,FALSE)</f>
        <v>#REF!</v>
      </c>
      <c r="C36" s="96" t="s">
        <v>798</v>
      </c>
      <c r="D36" s="96" t="s">
        <v>713</v>
      </c>
      <c r="E36" s="96" t="s">
        <v>799</v>
      </c>
      <c r="F36" s="96" t="s">
        <v>58</v>
      </c>
      <c r="G36" s="96" t="s">
        <v>58</v>
      </c>
      <c r="H36" s="96" t="s">
        <v>664</v>
      </c>
      <c r="I36" s="96" t="s">
        <v>52</v>
      </c>
      <c r="J36" s="372">
        <f>6983117.12</f>
        <v>6983117.1200000001</v>
      </c>
      <c r="K36" s="105" t="s">
        <v>461</v>
      </c>
      <c r="L36" s="105" t="s">
        <v>461</v>
      </c>
      <c r="M36" s="105" t="s">
        <v>461</v>
      </c>
      <c r="O36" s="159"/>
    </row>
    <row r="37" spans="2:15" ht="15.9" customHeight="1" x14ac:dyDescent="0.35">
      <c r="B37" s="96" t="e">
        <f>VLOOKUP(C37,[1]!Companies[#Data],3,FALSE)</f>
        <v>#REF!</v>
      </c>
      <c r="C37" s="96" t="s">
        <v>798</v>
      </c>
      <c r="D37" s="96" t="s">
        <v>713</v>
      </c>
      <c r="E37" s="96" t="s">
        <v>800</v>
      </c>
      <c r="F37" s="96" t="s">
        <v>58</v>
      </c>
      <c r="G37" s="96" t="s">
        <v>58</v>
      </c>
      <c r="H37" s="96" t="s">
        <v>664</v>
      </c>
      <c r="I37" s="96" t="s">
        <v>52</v>
      </c>
      <c r="J37" s="372">
        <f>55204465</f>
        <v>55204465</v>
      </c>
      <c r="K37" s="105" t="s">
        <v>461</v>
      </c>
      <c r="L37" s="105" t="s">
        <v>461</v>
      </c>
      <c r="M37" s="105" t="s">
        <v>461</v>
      </c>
      <c r="N37" s="96"/>
      <c r="O37" s="159"/>
    </row>
    <row r="38" spans="2:15" s="96" customFormat="1" x14ac:dyDescent="0.35">
      <c r="B38" s="96" t="e">
        <f>VLOOKUP(C38,[1]!Companies[#Data],3,FALSE)</f>
        <v>#REF!</v>
      </c>
      <c r="C38" s="96" t="s">
        <v>798</v>
      </c>
      <c r="D38" s="96" t="s">
        <v>549</v>
      </c>
      <c r="E38" s="96" t="s">
        <v>746</v>
      </c>
      <c r="F38" s="96" t="s">
        <v>58</v>
      </c>
      <c r="G38" s="96" t="s">
        <v>58</v>
      </c>
      <c r="H38" s="96" t="s">
        <v>664</v>
      </c>
      <c r="I38" s="96" t="s">
        <v>52</v>
      </c>
      <c r="J38" s="372">
        <f>12151300.91</f>
        <v>12151300.91</v>
      </c>
      <c r="K38" s="105" t="s">
        <v>461</v>
      </c>
      <c r="L38" s="105" t="s">
        <v>461</v>
      </c>
      <c r="M38" s="105" t="s">
        <v>461</v>
      </c>
      <c r="O38" s="159"/>
    </row>
    <row r="39" spans="2:15" s="96" customFormat="1" x14ac:dyDescent="0.35">
      <c r="B39" s="96" t="e">
        <f>VLOOKUP(C39,[1]!Companies[#Data],3,FALSE)</f>
        <v>#REF!</v>
      </c>
      <c r="C39" s="96" t="s">
        <v>798</v>
      </c>
      <c r="D39" s="96" t="s">
        <v>549</v>
      </c>
      <c r="E39" s="96" t="s">
        <v>793</v>
      </c>
      <c r="F39" s="96" t="s">
        <v>58</v>
      </c>
      <c r="G39" s="96" t="s">
        <v>58</v>
      </c>
      <c r="H39" s="96" t="s">
        <v>664</v>
      </c>
      <c r="I39" s="96" t="s">
        <v>52</v>
      </c>
      <c r="J39" s="372">
        <f>1569703.21</f>
        <v>1569703.21</v>
      </c>
      <c r="K39" s="105" t="s">
        <v>461</v>
      </c>
      <c r="L39" s="105" t="s">
        <v>461</v>
      </c>
      <c r="M39" s="105" t="s">
        <v>461</v>
      </c>
      <c r="O39" s="159"/>
    </row>
    <row r="40" spans="2:15" s="96" customFormat="1" x14ac:dyDescent="0.35">
      <c r="B40" s="96" t="e">
        <f>VLOOKUP(C40,[1]!Companies[#Data],3,FALSE)</f>
        <v>#REF!</v>
      </c>
      <c r="C40" s="96" t="s">
        <v>798</v>
      </c>
      <c r="D40" s="96" t="s">
        <v>794</v>
      </c>
      <c r="E40" s="96" t="s">
        <v>795</v>
      </c>
      <c r="F40" s="96" t="s">
        <v>58</v>
      </c>
      <c r="G40" s="96" t="s">
        <v>58</v>
      </c>
      <c r="H40" s="96" t="s">
        <v>664</v>
      </c>
      <c r="I40" s="96" t="s">
        <v>52</v>
      </c>
      <c r="J40" s="372">
        <f>26692611</f>
        <v>26692611</v>
      </c>
      <c r="K40" s="105" t="s">
        <v>461</v>
      </c>
      <c r="L40" s="105" t="s">
        <v>461</v>
      </c>
      <c r="M40" s="105" t="s">
        <v>461</v>
      </c>
      <c r="O40" s="159"/>
    </row>
    <row r="41" spans="2:15" s="96" customFormat="1" x14ac:dyDescent="0.35">
      <c r="B41" s="96" t="e">
        <f>VLOOKUP(C41,[1]!Companies[#Data],3,FALSE)</f>
        <v>#REF!</v>
      </c>
      <c r="C41" s="96" t="s">
        <v>798</v>
      </c>
      <c r="D41" s="96" t="s">
        <v>796</v>
      </c>
      <c r="E41" s="96" t="s">
        <v>797</v>
      </c>
      <c r="F41" s="96" t="s">
        <v>58</v>
      </c>
      <c r="G41" s="96" t="s">
        <v>58</v>
      </c>
      <c r="H41" s="96" t="s">
        <v>664</v>
      </c>
      <c r="I41" s="96" t="s">
        <v>52</v>
      </c>
      <c r="J41" s="372">
        <f>226800</f>
        <v>226800</v>
      </c>
      <c r="K41" s="105" t="s">
        <v>461</v>
      </c>
      <c r="L41" s="105" t="s">
        <v>461</v>
      </c>
      <c r="M41" s="105" t="s">
        <v>461</v>
      </c>
      <c r="O41" s="159"/>
    </row>
    <row r="42" spans="2:15" s="96" customFormat="1" x14ac:dyDescent="0.35">
      <c r="B42" s="96" t="e">
        <f>VLOOKUP(C42,[1]!Companies[#Data],3,FALSE)</f>
        <v>#REF!</v>
      </c>
      <c r="C42" s="96" t="s">
        <v>798</v>
      </c>
      <c r="D42" s="96" t="s">
        <v>541</v>
      </c>
      <c r="E42" s="96" t="s">
        <v>801</v>
      </c>
      <c r="F42" s="96" t="s">
        <v>58</v>
      </c>
      <c r="G42" s="96" t="s">
        <v>58</v>
      </c>
      <c r="H42" s="96" t="s">
        <v>664</v>
      </c>
      <c r="I42" s="96" t="s">
        <v>52</v>
      </c>
      <c r="J42" s="372">
        <f>131200000</f>
        <v>131200000</v>
      </c>
      <c r="K42" s="105" t="s">
        <v>461</v>
      </c>
      <c r="L42" s="105" t="s">
        <v>461</v>
      </c>
      <c r="M42" s="105" t="s">
        <v>461</v>
      </c>
      <c r="O42" s="159"/>
    </row>
    <row r="43" spans="2:15" s="96" customFormat="1" x14ac:dyDescent="0.35">
      <c r="B43" s="96" t="e">
        <f>VLOOKUP(C43,[1]!Companies[#Data],3,FALSE)</f>
        <v>#REF!</v>
      </c>
      <c r="C43" s="96" t="s">
        <v>802</v>
      </c>
      <c r="D43" s="96" t="s">
        <v>725</v>
      </c>
      <c r="E43" s="96" t="s">
        <v>784</v>
      </c>
      <c r="F43" s="96" t="s">
        <v>58</v>
      </c>
      <c r="G43" s="96" t="s">
        <v>58</v>
      </c>
      <c r="H43" s="96" t="s">
        <v>664</v>
      </c>
      <c r="I43" s="96" t="s">
        <v>52</v>
      </c>
      <c r="J43" s="372">
        <f>161611.3</f>
        <v>161611.29999999999</v>
      </c>
      <c r="K43" s="105" t="s">
        <v>461</v>
      </c>
      <c r="L43" s="105" t="s">
        <v>461</v>
      </c>
      <c r="M43" s="105" t="s">
        <v>461</v>
      </c>
      <c r="O43" s="159"/>
    </row>
    <row r="44" spans="2:15" s="96" customFormat="1" x14ac:dyDescent="0.35">
      <c r="B44" s="96" t="e">
        <f>VLOOKUP(C44,[1]!Companies[#Data],3,FALSE)</f>
        <v>#REF!</v>
      </c>
      <c r="C44" s="96" t="s">
        <v>802</v>
      </c>
      <c r="D44" s="96" t="s">
        <v>725</v>
      </c>
      <c r="E44" s="96" t="s">
        <v>789</v>
      </c>
      <c r="F44" s="96" t="s">
        <v>58</v>
      </c>
      <c r="G44" s="96" t="s">
        <v>58</v>
      </c>
      <c r="H44" s="96" t="s">
        <v>664</v>
      </c>
      <c r="I44" s="96" t="s">
        <v>52</v>
      </c>
      <c r="J44" s="373">
        <f>307843.94</f>
        <v>307843.94</v>
      </c>
      <c r="K44" s="105" t="s">
        <v>461</v>
      </c>
      <c r="L44" s="105" t="s">
        <v>461</v>
      </c>
      <c r="M44" s="105" t="s">
        <v>461</v>
      </c>
      <c r="O44" s="96" t="s">
        <v>803</v>
      </c>
    </row>
    <row r="45" spans="2:15" s="96" customFormat="1" x14ac:dyDescent="0.35">
      <c r="B45" s="96" t="e">
        <f>VLOOKUP(C45,[1]!Companies[#Data],3,FALSE)</f>
        <v>#REF!</v>
      </c>
      <c r="C45" s="96" t="s">
        <v>804</v>
      </c>
      <c r="D45" s="96" t="s">
        <v>541</v>
      </c>
      <c r="E45" s="96" t="s">
        <v>801</v>
      </c>
      <c r="F45" s="96" t="s">
        <v>58</v>
      </c>
      <c r="G45" s="96" t="s">
        <v>58</v>
      </c>
      <c r="H45" s="96" t="s">
        <v>664</v>
      </c>
      <c r="I45" s="96" t="s">
        <v>52</v>
      </c>
      <c r="J45" s="373">
        <f>47979389.96</f>
        <v>47979389.960000001</v>
      </c>
      <c r="K45" s="105" t="s">
        <v>461</v>
      </c>
      <c r="L45" s="105" t="s">
        <v>461</v>
      </c>
      <c r="M45" s="105" t="s">
        <v>461</v>
      </c>
      <c r="O45" s="96" t="s">
        <v>803</v>
      </c>
    </row>
    <row r="46" spans="2:15" s="96" customFormat="1" ht="16.5" customHeight="1" x14ac:dyDescent="0.35">
      <c r="B46" s="96" t="e">
        <f>VLOOKUP(C46,[1]!Companies[#Data],3,FALSE)</f>
        <v>#REF!</v>
      </c>
      <c r="C46" s="96" t="s">
        <v>805</v>
      </c>
      <c r="D46" s="96" t="s">
        <v>541</v>
      </c>
      <c r="E46" s="96" t="s">
        <v>801</v>
      </c>
      <c r="F46" s="96" t="s">
        <v>58</v>
      </c>
      <c r="G46" s="96" t="s">
        <v>58</v>
      </c>
      <c r="H46" s="96" t="s">
        <v>664</v>
      </c>
      <c r="I46" s="96" t="s">
        <v>52</v>
      </c>
      <c r="J46" s="373">
        <f>31406557.42</f>
        <v>31406557.420000002</v>
      </c>
      <c r="K46" s="105" t="s">
        <v>461</v>
      </c>
      <c r="L46" s="105" t="s">
        <v>461</v>
      </c>
      <c r="M46" s="105" t="s">
        <v>461</v>
      </c>
    </row>
    <row r="47" spans="2:15" s="96" customFormat="1" x14ac:dyDescent="0.35">
      <c r="B47" s="96" t="e">
        <f>VLOOKUP(C47,[1]!Companies[#Data],3,FALSE)</f>
        <v>#REF!</v>
      </c>
      <c r="C47" s="96" t="s">
        <v>644</v>
      </c>
      <c r="D47" s="96" t="s">
        <v>541</v>
      </c>
      <c r="E47" s="96" t="s">
        <v>801</v>
      </c>
      <c r="F47" s="96" t="s">
        <v>58</v>
      </c>
      <c r="G47" s="96" t="s">
        <v>58</v>
      </c>
      <c r="H47" s="96" t="s">
        <v>664</v>
      </c>
      <c r="I47" s="96" t="s">
        <v>52</v>
      </c>
      <c r="J47" s="373">
        <f>142176814.21</f>
        <v>142176814.21000001</v>
      </c>
      <c r="K47" s="105" t="s">
        <v>461</v>
      </c>
      <c r="L47" s="105" t="s">
        <v>461</v>
      </c>
      <c r="M47" s="105" t="s">
        <v>461</v>
      </c>
    </row>
    <row r="48" spans="2:15" s="96" customFormat="1" x14ac:dyDescent="0.35">
      <c r="B48" s="96" t="e">
        <f>VLOOKUP(C48,[1]!Companies[#Data],3,FALSE)</f>
        <v>#REF!</v>
      </c>
      <c r="C48" s="96" t="s">
        <v>646</v>
      </c>
      <c r="D48" s="96" t="s">
        <v>725</v>
      </c>
      <c r="E48" s="96" t="s">
        <v>784</v>
      </c>
      <c r="F48" s="96" t="s">
        <v>58</v>
      </c>
      <c r="G48" s="96" t="s">
        <v>58</v>
      </c>
      <c r="H48" s="96" t="s">
        <v>664</v>
      </c>
      <c r="I48" s="96" t="s">
        <v>52</v>
      </c>
      <c r="J48" s="373">
        <f>1187706.97</f>
        <v>1187706.97</v>
      </c>
      <c r="K48" s="105" t="s">
        <v>461</v>
      </c>
      <c r="L48" s="105" t="s">
        <v>461</v>
      </c>
      <c r="M48" s="105" t="s">
        <v>461</v>
      </c>
    </row>
    <row r="49" spans="2:15" s="96" customFormat="1" x14ac:dyDescent="0.35">
      <c r="B49" s="96" t="e">
        <f>VLOOKUP(C49,[1]!Companies[#Data],3,FALSE)</f>
        <v>#REF!</v>
      </c>
      <c r="C49" s="96" t="s">
        <v>806</v>
      </c>
      <c r="D49" s="96" t="s">
        <v>725</v>
      </c>
      <c r="E49" s="96" t="s">
        <v>783</v>
      </c>
      <c r="F49" s="96" t="s">
        <v>58</v>
      </c>
      <c r="G49" s="96" t="s">
        <v>58</v>
      </c>
      <c r="H49" s="96" t="s">
        <v>667</v>
      </c>
      <c r="I49" s="96" t="s">
        <v>52</v>
      </c>
      <c r="J49" s="373">
        <f>176409770.46</f>
        <v>176409770.46000001</v>
      </c>
      <c r="K49" s="105" t="s">
        <v>461</v>
      </c>
      <c r="L49" s="105" t="s">
        <v>461</v>
      </c>
      <c r="M49" s="105" t="s">
        <v>461</v>
      </c>
    </row>
    <row r="50" spans="2:15" s="96" customFormat="1" x14ac:dyDescent="0.35">
      <c r="B50" s="96" t="e">
        <f>VLOOKUP(C50,[1]!Companies[#Data],3,FALSE)</f>
        <v>#REF!</v>
      </c>
      <c r="C50" s="96" t="s">
        <v>806</v>
      </c>
      <c r="D50" s="96" t="s">
        <v>725</v>
      </c>
      <c r="E50" s="96" t="s">
        <v>807</v>
      </c>
      <c r="F50" s="96" t="s">
        <v>58</v>
      </c>
      <c r="G50" s="96" t="s">
        <v>58</v>
      </c>
      <c r="H50" s="96" t="s">
        <v>667</v>
      </c>
      <c r="I50" s="96" t="s">
        <v>52</v>
      </c>
      <c r="J50" s="373">
        <f>3243442.7</f>
        <v>3243442.7</v>
      </c>
      <c r="K50" s="105" t="s">
        <v>461</v>
      </c>
      <c r="L50" s="105" t="s">
        <v>461</v>
      </c>
      <c r="M50" s="105" t="s">
        <v>461</v>
      </c>
    </row>
    <row r="51" spans="2:15" s="96" customFormat="1" x14ac:dyDescent="0.35">
      <c r="B51" s="96" t="e">
        <f>VLOOKUP(C51,[1]!Companies[#Data],3,FALSE)</f>
        <v>#REF!</v>
      </c>
      <c r="C51" s="96" t="s">
        <v>806</v>
      </c>
      <c r="D51" s="96" t="s">
        <v>725</v>
      </c>
      <c r="E51" s="96" t="s">
        <v>808</v>
      </c>
      <c r="F51" s="96" t="s">
        <v>58</v>
      </c>
      <c r="G51" s="96" t="s">
        <v>58</v>
      </c>
      <c r="H51" s="96" t="s">
        <v>667</v>
      </c>
      <c r="I51" s="96" t="s">
        <v>52</v>
      </c>
      <c r="J51" s="373">
        <f>20817657</f>
        <v>20817657</v>
      </c>
      <c r="K51" s="105" t="s">
        <v>461</v>
      </c>
      <c r="L51" s="105" t="s">
        <v>461</v>
      </c>
      <c r="M51" s="105" t="s">
        <v>461</v>
      </c>
    </row>
    <row r="52" spans="2:15" s="96" customFormat="1" ht="15.75" customHeight="1" x14ac:dyDescent="0.35">
      <c r="B52" s="96" t="e">
        <f>VLOOKUP(C52,[1]!Companies[#Data],3,FALSE)</f>
        <v>#REF!</v>
      </c>
      <c r="C52" s="96" t="s">
        <v>806</v>
      </c>
      <c r="D52" s="96" t="s">
        <v>725</v>
      </c>
      <c r="E52" s="96" t="s">
        <v>809</v>
      </c>
      <c r="F52" s="96" t="s">
        <v>58</v>
      </c>
      <c r="G52" s="96" t="s">
        <v>58</v>
      </c>
      <c r="H52" s="96" t="s">
        <v>667</v>
      </c>
      <c r="I52" s="96" t="s">
        <v>52</v>
      </c>
      <c r="J52" s="373">
        <f>1362867</f>
        <v>1362867</v>
      </c>
      <c r="K52" s="105" t="s">
        <v>461</v>
      </c>
      <c r="L52" s="105" t="s">
        <v>461</v>
      </c>
      <c r="M52" s="105" t="s">
        <v>461</v>
      </c>
    </row>
    <row r="53" spans="2:15" s="96" customFormat="1" x14ac:dyDescent="0.35">
      <c r="B53" s="96" t="e">
        <f>VLOOKUP(C53,[1]!Companies[#Data],3,FALSE)</f>
        <v>#REF!</v>
      </c>
      <c r="C53" s="96" t="s">
        <v>806</v>
      </c>
      <c r="D53" s="96" t="s">
        <v>725</v>
      </c>
      <c r="E53" s="96" t="s">
        <v>786</v>
      </c>
      <c r="F53" s="96" t="s">
        <v>58</v>
      </c>
      <c r="G53" s="96" t="s">
        <v>58</v>
      </c>
      <c r="H53" s="96" t="s">
        <v>667</v>
      </c>
      <c r="I53" s="96" t="s">
        <v>52</v>
      </c>
      <c r="J53" s="373">
        <f>7777567.01</f>
        <v>7777567.0099999998</v>
      </c>
      <c r="K53" s="105" t="s">
        <v>461</v>
      </c>
      <c r="L53" s="105" t="s">
        <v>461</v>
      </c>
      <c r="M53" s="105" t="s">
        <v>461</v>
      </c>
    </row>
    <row r="54" spans="2:15" x14ac:dyDescent="0.35">
      <c r="B54" s="96" t="e">
        <f>VLOOKUP(C54,[1]!Companies[#Data],3,FALSE)</f>
        <v>#REF!</v>
      </c>
      <c r="C54" s="96" t="s">
        <v>806</v>
      </c>
      <c r="D54" s="96" t="s">
        <v>725</v>
      </c>
      <c r="E54" s="96" t="s">
        <v>787</v>
      </c>
      <c r="F54" s="96" t="s">
        <v>58</v>
      </c>
      <c r="G54" s="96" t="s">
        <v>58</v>
      </c>
      <c r="H54" s="96" t="s">
        <v>667</v>
      </c>
      <c r="I54" s="96" t="s">
        <v>52</v>
      </c>
      <c r="J54" s="373">
        <f>807517.79</f>
        <v>807517.79</v>
      </c>
      <c r="K54" s="105" t="s">
        <v>461</v>
      </c>
      <c r="L54" s="105" t="s">
        <v>461</v>
      </c>
      <c r="M54" s="105" t="s">
        <v>461</v>
      </c>
      <c r="N54" s="96"/>
      <c r="O54" s="96"/>
    </row>
    <row r="55" spans="2:15" x14ac:dyDescent="0.35">
      <c r="B55" s="96" t="e">
        <f>VLOOKUP(C55,[1]!Companies[#Data],3,FALSE)</f>
        <v>#REF!</v>
      </c>
      <c r="C55" s="96" t="s">
        <v>806</v>
      </c>
      <c r="D55" s="96" t="s">
        <v>725</v>
      </c>
      <c r="E55" s="96" t="s">
        <v>789</v>
      </c>
      <c r="F55" s="96" t="s">
        <v>58</v>
      </c>
      <c r="G55" s="96" t="s">
        <v>58</v>
      </c>
      <c r="H55" s="96" t="s">
        <v>667</v>
      </c>
      <c r="I55" s="96" t="s">
        <v>52</v>
      </c>
      <c r="J55" s="373">
        <f>95271.37</f>
        <v>95271.37</v>
      </c>
      <c r="K55" s="105" t="s">
        <v>461</v>
      </c>
      <c r="L55" s="105" t="s">
        <v>461</v>
      </c>
      <c r="M55" s="105" t="s">
        <v>461</v>
      </c>
      <c r="N55" s="96"/>
      <c r="O55" s="96"/>
    </row>
    <row r="56" spans="2:15" x14ac:dyDescent="0.35">
      <c r="B56" s="96" t="e">
        <f>VLOOKUP(C56,[1]!Companies[#Data],3,FALSE)</f>
        <v>#REF!</v>
      </c>
      <c r="C56" s="96" t="s">
        <v>806</v>
      </c>
      <c r="D56" s="96" t="s">
        <v>713</v>
      </c>
      <c r="E56" s="96" t="s">
        <v>799</v>
      </c>
      <c r="F56" s="96" t="s">
        <v>58</v>
      </c>
      <c r="G56" s="96" t="s">
        <v>58</v>
      </c>
      <c r="H56" s="96" t="s">
        <v>667</v>
      </c>
      <c r="I56" s="96" t="s">
        <v>52</v>
      </c>
      <c r="J56" s="373">
        <f>8911481</f>
        <v>8911481</v>
      </c>
      <c r="K56" s="105" t="s">
        <v>461</v>
      </c>
      <c r="L56" s="105" t="s">
        <v>461</v>
      </c>
      <c r="M56" s="105" t="s">
        <v>461</v>
      </c>
      <c r="N56" s="96"/>
      <c r="O56" s="96"/>
    </row>
    <row r="57" spans="2:15" x14ac:dyDescent="0.35">
      <c r="B57" s="96" t="e">
        <f>VLOOKUP(C57,[1]!Companies[#Data],3,FALSE)</f>
        <v>#REF!</v>
      </c>
      <c r="C57" s="96" t="s">
        <v>806</v>
      </c>
      <c r="D57" s="96" t="s">
        <v>713</v>
      </c>
      <c r="E57" s="96" t="s">
        <v>800</v>
      </c>
      <c r="F57" s="96" t="s">
        <v>58</v>
      </c>
      <c r="G57" s="96" t="s">
        <v>58</v>
      </c>
      <c r="H57" s="96" t="s">
        <v>667</v>
      </c>
      <c r="I57" s="96" t="s">
        <v>52</v>
      </c>
      <c r="J57" s="373">
        <f>56661589</f>
        <v>56661589</v>
      </c>
      <c r="K57" s="105" t="s">
        <v>461</v>
      </c>
      <c r="L57" s="105" t="s">
        <v>461</v>
      </c>
      <c r="M57" s="105" t="s">
        <v>461</v>
      </c>
      <c r="N57" s="96"/>
      <c r="O57" s="96"/>
    </row>
    <row r="58" spans="2:15" x14ac:dyDescent="0.35">
      <c r="B58" s="96" t="e">
        <f>VLOOKUP(C58,[1]!Companies[#Data],3,FALSE)</f>
        <v>#REF!</v>
      </c>
      <c r="C58" s="96" t="s">
        <v>806</v>
      </c>
      <c r="D58" s="96" t="s">
        <v>549</v>
      </c>
      <c r="E58" s="96" t="s">
        <v>746</v>
      </c>
      <c r="F58" s="96" t="s">
        <v>58</v>
      </c>
      <c r="G58" s="96" t="s">
        <v>58</v>
      </c>
      <c r="H58" s="96" t="s">
        <v>667</v>
      </c>
      <c r="I58" s="96" t="s">
        <v>52</v>
      </c>
      <c r="J58" s="373">
        <f>9933442.47</f>
        <v>9933442.4700000007</v>
      </c>
      <c r="K58" s="105" t="s">
        <v>461</v>
      </c>
      <c r="L58" s="105" t="s">
        <v>461</v>
      </c>
      <c r="M58" s="105" t="s">
        <v>461</v>
      </c>
      <c r="N58" s="96"/>
      <c r="O58" s="96"/>
    </row>
    <row r="59" spans="2:15" x14ac:dyDescent="0.35">
      <c r="B59" s="96" t="e">
        <f>VLOOKUP(C59,[1]!Companies[#Data],3,FALSE)</f>
        <v>#REF!</v>
      </c>
      <c r="C59" s="96" t="s">
        <v>806</v>
      </c>
      <c r="D59" s="96" t="s">
        <v>549</v>
      </c>
      <c r="E59" s="96" t="s">
        <v>793</v>
      </c>
      <c r="F59" s="96" t="s">
        <v>58</v>
      </c>
      <c r="G59" s="96" t="s">
        <v>58</v>
      </c>
      <c r="H59" s="96" t="s">
        <v>667</v>
      </c>
      <c r="I59" s="96" t="s">
        <v>52</v>
      </c>
      <c r="J59" s="373">
        <f>13856682.34</f>
        <v>13856682.34</v>
      </c>
      <c r="K59" s="105" t="s">
        <v>461</v>
      </c>
      <c r="L59" s="105" t="s">
        <v>461</v>
      </c>
      <c r="M59" s="105" t="s">
        <v>461</v>
      </c>
      <c r="N59" s="96"/>
      <c r="O59" s="96"/>
    </row>
    <row r="60" spans="2:15" x14ac:dyDescent="0.35">
      <c r="B60" s="96" t="e">
        <f>VLOOKUP(C60,[1]!Companies[#Data],3,FALSE)</f>
        <v>#REF!</v>
      </c>
      <c r="C60" s="96" t="s">
        <v>806</v>
      </c>
      <c r="D60" s="96" t="s">
        <v>794</v>
      </c>
      <c r="E60" s="96" t="s">
        <v>810</v>
      </c>
      <c r="F60" s="96" t="s">
        <v>58</v>
      </c>
      <c r="G60" s="96" t="s">
        <v>58</v>
      </c>
      <c r="H60" s="96" t="s">
        <v>667</v>
      </c>
      <c r="I60" s="96" t="s">
        <v>52</v>
      </c>
      <c r="J60" s="373">
        <f>4794081</f>
        <v>4794081</v>
      </c>
      <c r="K60" s="105" t="s">
        <v>461</v>
      </c>
      <c r="L60" s="105" t="s">
        <v>461</v>
      </c>
      <c r="M60" s="105" t="s">
        <v>461</v>
      </c>
      <c r="N60" s="96"/>
      <c r="O60" s="96"/>
    </row>
    <row r="61" spans="2:15" x14ac:dyDescent="0.35">
      <c r="B61" s="96" t="e">
        <f>VLOOKUP(C61,[1]!Companies[#Data],3,FALSE)</f>
        <v>#REF!</v>
      </c>
      <c r="C61" s="96" t="s">
        <v>806</v>
      </c>
      <c r="D61" s="96" t="s">
        <v>796</v>
      </c>
      <c r="E61" s="96" t="s">
        <v>797</v>
      </c>
      <c r="F61" s="96" t="s">
        <v>58</v>
      </c>
      <c r="G61" s="96" t="s">
        <v>58</v>
      </c>
      <c r="H61" s="96" t="s">
        <v>667</v>
      </c>
      <c r="I61" s="96" t="s">
        <v>52</v>
      </c>
      <c r="J61" s="373">
        <f>545170</f>
        <v>545170</v>
      </c>
      <c r="K61" s="105" t="s">
        <v>461</v>
      </c>
      <c r="L61" s="105" t="s">
        <v>461</v>
      </c>
      <c r="M61" s="105" t="s">
        <v>461</v>
      </c>
      <c r="N61" s="96"/>
      <c r="O61" s="96"/>
    </row>
    <row r="62" spans="2:15" x14ac:dyDescent="0.35">
      <c r="B62" s="96" t="e">
        <f>VLOOKUP(C62,[1]!Companies[#Data],3,FALSE)</f>
        <v>#REF!</v>
      </c>
      <c r="C62" s="96" t="s">
        <v>617</v>
      </c>
      <c r="D62" s="96" t="s">
        <v>725</v>
      </c>
      <c r="E62" s="96" t="s">
        <v>784</v>
      </c>
      <c r="F62" s="96" t="s">
        <v>58</v>
      </c>
      <c r="G62" s="96" t="s">
        <v>58</v>
      </c>
      <c r="H62" s="96" t="s">
        <v>667</v>
      </c>
      <c r="I62" s="96" t="s">
        <v>52</v>
      </c>
      <c r="J62" s="373">
        <f>916663.85</f>
        <v>916663.85</v>
      </c>
      <c r="K62" s="105" t="s">
        <v>461</v>
      </c>
      <c r="L62" s="105" t="s">
        <v>461</v>
      </c>
      <c r="M62" s="105" t="s">
        <v>461</v>
      </c>
      <c r="N62" s="96"/>
      <c r="O62" s="96"/>
    </row>
    <row r="63" spans="2:15" x14ac:dyDescent="0.35">
      <c r="B63" s="96" t="e">
        <f>VLOOKUP(C63,[1]!Companies[#Data],3,FALSE)</f>
        <v>#REF!</v>
      </c>
      <c r="C63" s="96" t="s">
        <v>617</v>
      </c>
      <c r="D63" s="96" t="s">
        <v>725</v>
      </c>
      <c r="E63" s="96" t="s">
        <v>783</v>
      </c>
      <c r="F63" s="96" t="s">
        <v>58</v>
      </c>
      <c r="G63" s="96" t="s">
        <v>58</v>
      </c>
      <c r="H63" s="96" t="s">
        <v>667</v>
      </c>
      <c r="I63" s="96" t="s">
        <v>52</v>
      </c>
      <c r="J63" s="373">
        <f>12147905.88</f>
        <v>12147905.880000001</v>
      </c>
      <c r="K63" s="105" t="s">
        <v>461</v>
      </c>
      <c r="L63" s="105" t="s">
        <v>461</v>
      </c>
      <c r="M63" s="105" t="s">
        <v>461</v>
      </c>
      <c r="N63" s="96"/>
      <c r="O63" s="96"/>
    </row>
    <row r="64" spans="2:15" x14ac:dyDescent="0.35">
      <c r="B64" s="96" t="e">
        <f>VLOOKUP(C64,[1]!Companies[#Data],3,FALSE)</f>
        <v>#REF!</v>
      </c>
      <c r="C64" s="96" t="s">
        <v>811</v>
      </c>
      <c r="D64" s="96" t="s">
        <v>725</v>
      </c>
      <c r="E64" s="96" t="s">
        <v>784</v>
      </c>
      <c r="F64" s="96" t="s">
        <v>58</v>
      </c>
      <c r="G64" s="96" t="s">
        <v>58</v>
      </c>
      <c r="H64" s="96" t="s">
        <v>679</v>
      </c>
      <c r="I64" s="96" t="s">
        <v>52</v>
      </c>
      <c r="J64" s="373">
        <f>37301637.08</f>
        <v>37301637.079999998</v>
      </c>
      <c r="K64" s="105" t="s">
        <v>461</v>
      </c>
      <c r="L64" s="105" t="s">
        <v>461</v>
      </c>
      <c r="M64" s="105" t="s">
        <v>461</v>
      </c>
      <c r="N64" s="96"/>
      <c r="O64" s="96"/>
    </row>
    <row r="65" spans="2:15" x14ac:dyDescent="0.35">
      <c r="B65" s="96" t="e">
        <f>VLOOKUP(C65,[1]!Companies[#Data],3,FALSE)</f>
        <v>#REF!</v>
      </c>
      <c r="C65" s="96" t="s">
        <v>811</v>
      </c>
      <c r="D65" s="96" t="s">
        <v>725</v>
      </c>
      <c r="E65" s="96" t="s">
        <v>807</v>
      </c>
      <c r="F65" s="96" t="s">
        <v>58</v>
      </c>
      <c r="G65" s="96" t="s">
        <v>58</v>
      </c>
      <c r="H65" s="96" t="s">
        <v>679</v>
      </c>
      <c r="I65" s="96" t="s">
        <v>52</v>
      </c>
      <c r="J65" s="373">
        <f>1775642.09</f>
        <v>1775642.09</v>
      </c>
      <c r="K65" s="105" t="s">
        <v>461</v>
      </c>
      <c r="L65" s="105" t="s">
        <v>461</v>
      </c>
      <c r="M65" s="105" t="s">
        <v>461</v>
      </c>
      <c r="N65" s="96"/>
      <c r="O65" s="96"/>
    </row>
    <row r="66" spans="2:15" x14ac:dyDescent="0.35">
      <c r="B66" s="96" t="e">
        <f>VLOOKUP(C66,[1]!Companies[#Data],3,FALSE)</f>
        <v>#REF!</v>
      </c>
      <c r="C66" s="96" t="s">
        <v>811</v>
      </c>
      <c r="D66" s="96" t="s">
        <v>725</v>
      </c>
      <c r="E66" s="96" t="s">
        <v>787</v>
      </c>
      <c r="F66" s="96" t="s">
        <v>58</v>
      </c>
      <c r="G66" s="96" t="s">
        <v>58</v>
      </c>
      <c r="H66" s="96" t="s">
        <v>679</v>
      </c>
      <c r="I66" s="96" t="s">
        <v>52</v>
      </c>
      <c r="J66" s="373">
        <f>51033</f>
        <v>51033</v>
      </c>
      <c r="K66" s="105" t="s">
        <v>461</v>
      </c>
      <c r="L66" s="105" t="s">
        <v>461</v>
      </c>
      <c r="M66" s="105" t="s">
        <v>461</v>
      </c>
      <c r="N66" s="96"/>
      <c r="O66" s="96"/>
    </row>
    <row r="67" spans="2:15" x14ac:dyDescent="0.35">
      <c r="B67" s="96" t="e">
        <f>VLOOKUP(C67,[1]!Companies[#Data],3,FALSE)</f>
        <v>#REF!</v>
      </c>
      <c r="C67" s="96" t="s">
        <v>811</v>
      </c>
      <c r="D67" s="96" t="s">
        <v>725</v>
      </c>
      <c r="E67" s="96" t="s">
        <v>789</v>
      </c>
      <c r="F67" s="96" t="s">
        <v>58</v>
      </c>
      <c r="G67" s="96" t="s">
        <v>58</v>
      </c>
      <c r="H67" s="96" t="s">
        <v>679</v>
      </c>
      <c r="I67" s="96" t="s">
        <v>52</v>
      </c>
      <c r="J67" s="373">
        <f>11683627.04</f>
        <v>11683627.039999999</v>
      </c>
      <c r="K67" s="105" t="s">
        <v>461</v>
      </c>
      <c r="L67" s="105" t="s">
        <v>461</v>
      </c>
      <c r="M67" s="105" t="s">
        <v>461</v>
      </c>
      <c r="N67" s="96"/>
      <c r="O67" s="96"/>
    </row>
    <row r="68" spans="2:15" x14ac:dyDescent="0.35">
      <c r="B68" s="96" t="e">
        <f>VLOOKUP(C68,[1]!Companies[#Data],3,FALSE)</f>
        <v>#REF!</v>
      </c>
      <c r="C68" s="96" t="s">
        <v>811</v>
      </c>
      <c r="D68" s="96" t="s">
        <v>713</v>
      </c>
      <c r="E68" s="96" t="s">
        <v>799</v>
      </c>
      <c r="F68" s="96" t="s">
        <v>58</v>
      </c>
      <c r="G68" s="96" t="s">
        <v>58</v>
      </c>
      <c r="H68" s="96" t="s">
        <v>679</v>
      </c>
      <c r="I68" s="96" t="s">
        <v>52</v>
      </c>
      <c r="J68" s="373">
        <f>3567395.71</f>
        <v>3567395.71</v>
      </c>
      <c r="K68" s="105" t="s">
        <v>461</v>
      </c>
      <c r="L68" s="105" t="s">
        <v>461</v>
      </c>
      <c r="M68" s="105" t="s">
        <v>461</v>
      </c>
      <c r="N68" s="96"/>
      <c r="O68" s="96"/>
    </row>
    <row r="69" spans="2:15" x14ac:dyDescent="0.35">
      <c r="B69" s="96" t="e">
        <f>VLOOKUP(C69,[1]!Companies[#Data],3,FALSE)</f>
        <v>#REF!</v>
      </c>
      <c r="C69" s="96" t="s">
        <v>811</v>
      </c>
      <c r="D69" s="96" t="s">
        <v>713</v>
      </c>
      <c r="E69" s="96" t="s">
        <v>800</v>
      </c>
      <c r="F69" s="96" t="s">
        <v>58</v>
      </c>
      <c r="G69" s="96" t="s">
        <v>58</v>
      </c>
      <c r="H69" s="96" t="s">
        <v>679</v>
      </c>
      <c r="I69" s="96" t="s">
        <v>52</v>
      </c>
      <c r="J69" s="373">
        <f>26215744</f>
        <v>26215744</v>
      </c>
      <c r="K69" s="105" t="s">
        <v>461</v>
      </c>
      <c r="L69" s="105" t="s">
        <v>461</v>
      </c>
      <c r="M69" s="105" t="s">
        <v>461</v>
      </c>
      <c r="N69" s="96"/>
      <c r="O69" s="96"/>
    </row>
    <row r="70" spans="2:15" x14ac:dyDescent="0.35">
      <c r="B70" s="96" t="e">
        <f>VLOOKUP(C70,[1]!Companies[#Data],3,FALSE)</f>
        <v>#REF!</v>
      </c>
      <c r="C70" s="96" t="s">
        <v>811</v>
      </c>
      <c r="D70" s="96" t="s">
        <v>549</v>
      </c>
      <c r="E70" s="96" t="s">
        <v>746</v>
      </c>
      <c r="F70" s="96" t="s">
        <v>58</v>
      </c>
      <c r="G70" s="96" t="s">
        <v>58</v>
      </c>
      <c r="H70" s="96" t="s">
        <v>679</v>
      </c>
      <c r="I70" s="96" t="s">
        <v>52</v>
      </c>
      <c r="J70" s="373">
        <f>81536.77</f>
        <v>81536.77</v>
      </c>
      <c r="K70" s="105" t="s">
        <v>461</v>
      </c>
      <c r="L70" s="105" t="s">
        <v>461</v>
      </c>
      <c r="M70" s="105" t="s">
        <v>461</v>
      </c>
      <c r="N70" s="96"/>
      <c r="O70" s="96"/>
    </row>
    <row r="71" spans="2:15" x14ac:dyDescent="0.35">
      <c r="B71" s="96" t="e">
        <f>VLOOKUP(C71,[1]!Companies[#Data],3,FALSE)</f>
        <v>#REF!</v>
      </c>
      <c r="C71" s="96" t="s">
        <v>811</v>
      </c>
      <c r="D71" s="96" t="s">
        <v>549</v>
      </c>
      <c r="E71" s="96" t="s">
        <v>793</v>
      </c>
      <c r="F71" s="96" t="s">
        <v>58</v>
      </c>
      <c r="G71" s="96" t="s">
        <v>58</v>
      </c>
      <c r="H71" s="96" t="s">
        <v>679</v>
      </c>
      <c r="I71" s="96" t="s">
        <v>52</v>
      </c>
      <c r="J71" s="373">
        <f>6985.28</f>
        <v>6985.28</v>
      </c>
      <c r="K71" s="105" t="s">
        <v>461</v>
      </c>
      <c r="L71" s="105" t="s">
        <v>461</v>
      </c>
      <c r="M71" s="105" t="s">
        <v>461</v>
      </c>
      <c r="N71" s="96"/>
      <c r="O71" s="96"/>
    </row>
    <row r="72" spans="2:15" x14ac:dyDescent="0.35">
      <c r="B72" s="96" t="e">
        <f>VLOOKUP(C72,[1]!Companies[#Data],3,FALSE)</f>
        <v>#REF!</v>
      </c>
      <c r="C72" s="96" t="s">
        <v>811</v>
      </c>
      <c r="D72" s="96" t="s">
        <v>796</v>
      </c>
      <c r="E72" s="96" t="s">
        <v>797</v>
      </c>
      <c r="F72" s="96" t="s">
        <v>58</v>
      </c>
      <c r="G72" s="96" t="s">
        <v>58</v>
      </c>
      <c r="H72" s="96" t="s">
        <v>679</v>
      </c>
      <c r="I72" s="96" t="s">
        <v>52</v>
      </c>
      <c r="J72" s="373">
        <f>1056053</f>
        <v>1056053</v>
      </c>
      <c r="K72" s="105" t="s">
        <v>461</v>
      </c>
      <c r="L72" s="105" t="s">
        <v>461</v>
      </c>
      <c r="M72" s="105" t="s">
        <v>461</v>
      </c>
      <c r="N72" s="96"/>
      <c r="O72" s="96"/>
    </row>
    <row r="73" spans="2:15" x14ac:dyDescent="0.35">
      <c r="B73" s="96" t="e">
        <f>VLOOKUP(C73,[1]!Companies[#Data],3,FALSE)</f>
        <v>#REF!</v>
      </c>
      <c r="C73" s="96" t="s">
        <v>670</v>
      </c>
      <c r="D73" s="96" t="s">
        <v>725</v>
      </c>
      <c r="E73" s="96" t="s">
        <v>784</v>
      </c>
      <c r="F73" s="96" t="s">
        <v>58</v>
      </c>
      <c r="G73" s="96" t="s">
        <v>58</v>
      </c>
      <c r="H73" s="96" t="s">
        <v>669</v>
      </c>
      <c r="I73" s="96" t="s">
        <v>52</v>
      </c>
      <c r="J73" s="373">
        <f>17315644.04</f>
        <v>17315644.039999999</v>
      </c>
      <c r="K73" s="105" t="s">
        <v>461</v>
      </c>
      <c r="L73" s="105" t="s">
        <v>461</v>
      </c>
      <c r="M73" s="105" t="s">
        <v>461</v>
      </c>
      <c r="N73" s="96"/>
      <c r="O73" s="96"/>
    </row>
    <row r="74" spans="2:15" x14ac:dyDescent="0.35">
      <c r="B74" s="96" t="e">
        <f>VLOOKUP(C74,[1]!Companies[#Data],3,FALSE)</f>
        <v>#REF!</v>
      </c>
      <c r="C74" s="96" t="s">
        <v>670</v>
      </c>
      <c r="D74" s="96" t="s">
        <v>725</v>
      </c>
      <c r="E74" s="96" t="s">
        <v>807</v>
      </c>
      <c r="F74" s="96" t="s">
        <v>58</v>
      </c>
      <c r="G74" s="96" t="s">
        <v>58</v>
      </c>
      <c r="H74" s="96" t="s">
        <v>669</v>
      </c>
      <c r="I74" s="96" t="s">
        <v>52</v>
      </c>
      <c r="J74" s="373">
        <f>1502355.12</f>
        <v>1502355.12</v>
      </c>
      <c r="K74" s="105" t="s">
        <v>461</v>
      </c>
      <c r="L74" s="105" t="s">
        <v>461</v>
      </c>
      <c r="M74" s="105" t="s">
        <v>461</v>
      </c>
      <c r="N74" s="96"/>
      <c r="O74" s="96"/>
    </row>
    <row r="75" spans="2:15" x14ac:dyDescent="0.35">
      <c r="B75" s="96" t="e">
        <f>VLOOKUP(C75,[1]!Companies[#Data],3,FALSE)</f>
        <v>#REF!</v>
      </c>
      <c r="C75" s="96" t="s">
        <v>670</v>
      </c>
      <c r="D75" s="96" t="s">
        <v>725</v>
      </c>
      <c r="E75" s="96" t="s">
        <v>787</v>
      </c>
      <c r="F75" s="96" t="s">
        <v>58</v>
      </c>
      <c r="G75" s="96" t="s">
        <v>58</v>
      </c>
      <c r="H75" s="96" t="s">
        <v>669</v>
      </c>
      <c r="I75" s="96" t="s">
        <v>52</v>
      </c>
      <c r="J75" s="373">
        <f>17273.04</f>
        <v>17273.04</v>
      </c>
      <c r="K75" s="105" t="s">
        <v>461</v>
      </c>
      <c r="L75" s="105" t="s">
        <v>461</v>
      </c>
      <c r="M75" s="105" t="s">
        <v>461</v>
      </c>
      <c r="N75" s="96"/>
      <c r="O75" s="96"/>
    </row>
    <row r="76" spans="2:15" x14ac:dyDescent="0.35">
      <c r="B76" s="96" t="e">
        <f>VLOOKUP(C76,[1]!Companies[#Data],3,FALSE)</f>
        <v>#REF!</v>
      </c>
      <c r="C76" s="96" t="s">
        <v>670</v>
      </c>
      <c r="D76" s="96" t="s">
        <v>725</v>
      </c>
      <c r="E76" s="96" t="s">
        <v>788</v>
      </c>
      <c r="F76" s="96" t="s">
        <v>58</v>
      </c>
      <c r="G76" s="96" t="s">
        <v>58</v>
      </c>
      <c r="H76" s="96" t="s">
        <v>669</v>
      </c>
      <c r="I76" s="96" t="s">
        <v>52</v>
      </c>
      <c r="J76" s="373">
        <f>391877.01</f>
        <v>391877.01</v>
      </c>
      <c r="K76" s="105" t="s">
        <v>461</v>
      </c>
      <c r="L76" s="105" t="s">
        <v>461</v>
      </c>
      <c r="M76" s="105" t="s">
        <v>461</v>
      </c>
      <c r="N76" s="96"/>
      <c r="O76" s="96"/>
    </row>
    <row r="77" spans="2:15" x14ac:dyDescent="0.35">
      <c r="B77" s="96" t="e">
        <f>VLOOKUP(C77,[1]!Companies[#Data],3,FALSE)</f>
        <v>#REF!</v>
      </c>
      <c r="C77" s="96" t="s">
        <v>670</v>
      </c>
      <c r="D77" s="96" t="s">
        <v>812</v>
      </c>
      <c r="E77" s="96" t="s">
        <v>799</v>
      </c>
      <c r="F77" s="96" t="s">
        <v>58</v>
      </c>
      <c r="G77" s="96" t="s">
        <v>58</v>
      </c>
      <c r="H77" s="96" t="s">
        <v>669</v>
      </c>
      <c r="I77" s="96" t="s">
        <v>52</v>
      </c>
      <c r="J77" s="373">
        <f>1995706.84</f>
        <v>1995706.84</v>
      </c>
      <c r="K77" s="105" t="s">
        <v>461</v>
      </c>
      <c r="L77" s="105" t="s">
        <v>461</v>
      </c>
      <c r="M77" s="105" t="s">
        <v>461</v>
      </c>
      <c r="N77" s="96"/>
      <c r="O77" s="96"/>
    </row>
    <row r="78" spans="2:15" x14ac:dyDescent="0.35">
      <c r="B78" s="96" t="e">
        <f>VLOOKUP(C78,[1]!Companies[#Data],3,FALSE)</f>
        <v>#REF!</v>
      </c>
      <c r="C78" s="96" t="s">
        <v>670</v>
      </c>
      <c r="D78" s="96" t="s">
        <v>713</v>
      </c>
      <c r="E78" s="96" t="s">
        <v>800</v>
      </c>
      <c r="F78" s="96" t="s">
        <v>58</v>
      </c>
      <c r="G78" s="96" t="s">
        <v>58</v>
      </c>
      <c r="H78" s="96" t="s">
        <v>669</v>
      </c>
      <c r="I78" s="96" t="s">
        <v>52</v>
      </c>
      <c r="J78" s="373">
        <f>20677643</f>
        <v>20677643</v>
      </c>
      <c r="K78" s="105" t="s">
        <v>461</v>
      </c>
      <c r="L78" s="105" t="s">
        <v>461</v>
      </c>
      <c r="M78" s="105" t="s">
        <v>461</v>
      </c>
      <c r="N78" s="96"/>
      <c r="O78" s="96"/>
    </row>
    <row r="79" spans="2:15" x14ac:dyDescent="0.35">
      <c r="B79" s="96" t="e">
        <f>VLOOKUP(C79,[1]!Companies[#Data],3,FALSE)</f>
        <v>#REF!</v>
      </c>
      <c r="C79" s="96" t="s">
        <v>670</v>
      </c>
      <c r="D79" s="96" t="s">
        <v>796</v>
      </c>
      <c r="E79" s="96" t="s">
        <v>797</v>
      </c>
      <c r="F79" s="96" t="s">
        <v>58</v>
      </c>
      <c r="G79" s="96" t="s">
        <v>58</v>
      </c>
      <c r="H79" s="96" t="s">
        <v>669</v>
      </c>
      <c r="I79" s="96" t="s">
        <v>52</v>
      </c>
      <c r="J79" s="373">
        <f>543170</f>
        <v>543170</v>
      </c>
      <c r="K79" s="105" t="s">
        <v>461</v>
      </c>
      <c r="L79" s="105" t="s">
        <v>461</v>
      </c>
      <c r="M79" s="105" t="s">
        <v>461</v>
      </c>
      <c r="N79" s="96"/>
      <c r="O79" s="96"/>
    </row>
    <row r="80" spans="2:15" x14ac:dyDescent="0.35">
      <c r="B80" s="96" t="e">
        <f>VLOOKUP(C80,[1]!Companies[#Data],3,FALSE)</f>
        <v>#REF!</v>
      </c>
      <c r="C80" s="96" t="s">
        <v>672</v>
      </c>
      <c r="D80" s="96" t="s">
        <v>725</v>
      </c>
      <c r="E80" s="96" t="s">
        <v>784</v>
      </c>
      <c r="F80" s="96" t="s">
        <v>58</v>
      </c>
      <c r="G80" s="96" t="s">
        <v>58</v>
      </c>
      <c r="H80" s="96" t="s">
        <v>813</v>
      </c>
      <c r="I80" s="96" t="s">
        <v>52</v>
      </c>
      <c r="J80" s="373">
        <f>14773533.76</f>
        <v>14773533.76</v>
      </c>
      <c r="K80" s="105" t="s">
        <v>461</v>
      </c>
      <c r="L80" s="105" t="s">
        <v>461</v>
      </c>
      <c r="M80" s="105" t="s">
        <v>461</v>
      </c>
      <c r="N80" s="96"/>
      <c r="O80" s="96"/>
    </row>
    <row r="81" spans="2:15" x14ac:dyDescent="0.35">
      <c r="B81" s="96" t="e">
        <f>VLOOKUP(C81,[1]!Companies[#Data],3,FALSE)</f>
        <v>#REF!</v>
      </c>
      <c r="C81" s="96" t="s">
        <v>672</v>
      </c>
      <c r="D81" s="96" t="s">
        <v>713</v>
      </c>
      <c r="E81" s="96" t="s">
        <v>799</v>
      </c>
      <c r="F81" s="96" t="s">
        <v>58</v>
      </c>
      <c r="G81" s="96" t="s">
        <v>58</v>
      </c>
      <c r="H81" s="96" t="s">
        <v>813</v>
      </c>
      <c r="I81" s="96" t="s">
        <v>52</v>
      </c>
      <c r="J81" s="373">
        <f>1423525.01</f>
        <v>1423525.01</v>
      </c>
      <c r="K81" s="105" t="s">
        <v>461</v>
      </c>
      <c r="L81" s="105" t="s">
        <v>461</v>
      </c>
      <c r="M81" s="105" t="s">
        <v>461</v>
      </c>
      <c r="N81" s="96"/>
      <c r="O81" s="96"/>
    </row>
    <row r="82" spans="2:15" x14ac:dyDescent="0.35">
      <c r="B82" s="96" t="e">
        <f>VLOOKUP(C82,[1]!Companies[#Data],3,FALSE)</f>
        <v>#REF!</v>
      </c>
      <c r="C82" s="96" t="s">
        <v>672</v>
      </c>
      <c r="D82" s="96" t="s">
        <v>713</v>
      </c>
      <c r="E82" s="96" t="s">
        <v>814</v>
      </c>
      <c r="F82" s="96" t="s">
        <v>58</v>
      </c>
      <c r="G82" s="96" t="s">
        <v>58</v>
      </c>
      <c r="H82" s="96" t="s">
        <v>813</v>
      </c>
      <c r="I82" s="96" t="s">
        <v>52</v>
      </c>
      <c r="J82" s="373">
        <f>6764542</f>
        <v>6764542</v>
      </c>
      <c r="K82" s="105" t="s">
        <v>461</v>
      </c>
      <c r="L82" s="105" t="s">
        <v>461</v>
      </c>
      <c r="M82" s="105" t="s">
        <v>461</v>
      </c>
      <c r="N82" s="96"/>
      <c r="O82" s="96"/>
    </row>
    <row r="83" spans="2:15" x14ac:dyDescent="0.35">
      <c r="B83" s="96" t="e">
        <f>VLOOKUP(C83,[1]!Companies[#Data],3,FALSE)</f>
        <v>#REF!</v>
      </c>
      <c r="C83" s="96" t="s">
        <v>672</v>
      </c>
      <c r="D83" s="96" t="s">
        <v>796</v>
      </c>
      <c r="E83" s="96" t="s">
        <v>797</v>
      </c>
      <c r="F83" s="96" t="s">
        <v>58</v>
      </c>
      <c r="G83" s="96" t="s">
        <v>58</v>
      </c>
      <c r="H83" s="96" t="s">
        <v>813</v>
      </c>
      <c r="I83" s="96" t="s">
        <v>52</v>
      </c>
      <c r="J83" s="373">
        <f>39585</f>
        <v>39585</v>
      </c>
      <c r="K83" s="105" t="s">
        <v>461</v>
      </c>
      <c r="L83" s="105" t="s">
        <v>461</v>
      </c>
      <c r="M83" s="105" t="s">
        <v>461</v>
      </c>
      <c r="N83" s="96"/>
      <c r="O83" s="96"/>
    </row>
    <row r="84" spans="2:15" x14ac:dyDescent="0.35">
      <c r="B84" s="96" t="e">
        <f>VLOOKUP(C84,[1]!Companies[#Data],3,FALSE)</f>
        <v>#REF!</v>
      </c>
      <c r="C84" s="96" t="s">
        <v>674</v>
      </c>
      <c r="D84" s="96" t="s">
        <v>725</v>
      </c>
      <c r="E84" s="96" t="s">
        <v>784</v>
      </c>
      <c r="F84" s="96" t="s">
        <v>58</v>
      </c>
      <c r="G84" s="96" t="s">
        <v>58</v>
      </c>
      <c r="H84" s="96" t="s">
        <v>673</v>
      </c>
      <c r="I84" s="96" t="s">
        <v>52</v>
      </c>
      <c r="J84" s="373">
        <f>9996393.83</f>
        <v>9996393.8300000001</v>
      </c>
      <c r="K84" s="105" t="s">
        <v>461</v>
      </c>
      <c r="L84" s="105" t="s">
        <v>461</v>
      </c>
      <c r="M84" s="105" t="s">
        <v>461</v>
      </c>
      <c r="N84" s="96"/>
      <c r="O84" s="96"/>
    </row>
    <row r="85" spans="2:15" x14ac:dyDescent="0.35">
      <c r="B85" s="96" t="e">
        <f>VLOOKUP(C85,[1]!Companies[#Data],3,FALSE)</f>
        <v>#REF!</v>
      </c>
      <c r="C85" s="96" t="s">
        <v>674</v>
      </c>
      <c r="D85" s="96" t="s">
        <v>725</v>
      </c>
      <c r="E85" s="96" t="s">
        <v>787</v>
      </c>
      <c r="F85" s="96" t="s">
        <v>58</v>
      </c>
      <c r="G85" s="96" t="s">
        <v>58</v>
      </c>
      <c r="H85" s="96" t="s">
        <v>673</v>
      </c>
      <c r="I85" s="96" t="s">
        <v>52</v>
      </c>
      <c r="J85" s="373">
        <f>17612.06</f>
        <v>17612.060000000001</v>
      </c>
      <c r="K85" s="105" t="s">
        <v>461</v>
      </c>
      <c r="L85" s="105" t="s">
        <v>461</v>
      </c>
      <c r="M85" s="105" t="s">
        <v>461</v>
      </c>
      <c r="N85" s="96"/>
      <c r="O85" s="96"/>
    </row>
    <row r="86" spans="2:15" x14ac:dyDescent="0.35">
      <c r="B86" s="96" t="e">
        <f>VLOOKUP(C86,[1]!Companies[#Data],3,FALSE)</f>
        <v>#REF!</v>
      </c>
      <c r="C86" s="96" t="s">
        <v>674</v>
      </c>
      <c r="D86" s="96" t="s">
        <v>725</v>
      </c>
      <c r="E86" s="96" t="s">
        <v>788</v>
      </c>
      <c r="F86" s="96" t="s">
        <v>58</v>
      </c>
      <c r="G86" s="96" t="s">
        <v>58</v>
      </c>
      <c r="H86" s="96" t="s">
        <v>673</v>
      </c>
      <c r="I86" s="96" t="s">
        <v>52</v>
      </c>
      <c r="J86" s="373">
        <f>554393.95</f>
        <v>554393.94999999995</v>
      </c>
      <c r="K86" s="105" t="s">
        <v>461</v>
      </c>
      <c r="L86" s="105" t="s">
        <v>461</v>
      </c>
      <c r="M86" s="105" t="s">
        <v>461</v>
      </c>
      <c r="N86" s="96"/>
      <c r="O86" s="96"/>
    </row>
    <row r="87" spans="2:15" x14ac:dyDescent="0.35">
      <c r="B87" s="96" t="e">
        <f>VLOOKUP(C87,[1]!Companies[#Data],3,FALSE)</f>
        <v>#REF!</v>
      </c>
      <c r="C87" s="96" t="s">
        <v>674</v>
      </c>
      <c r="D87" s="96" t="s">
        <v>725</v>
      </c>
      <c r="E87" s="96" t="s">
        <v>789</v>
      </c>
      <c r="F87" s="96" t="s">
        <v>58</v>
      </c>
      <c r="G87" s="96" t="s">
        <v>58</v>
      </c>
      <c r="H87" s="96" t="s">
        <v>673</v>
      </c>
      <c r="I87" s="96" t="s">
        <v>52</v>
      </c>
      <c r="J87" s="373">
        <f>76074.47</f>
        <v>76074.47</v>
      </c>
      <c r="K87" s="105" t="s">
        <v>461</v>
      </c>
      <c r="L87" s="105" t="s">
        <v>461</v>
      </c>
      <c r="M87" s="105" t="s">
        <v>461</v>
      </c>
      <c r="N87" s="96"/>
      <c r="O87" s="96"/>
    </row>
    <row r="88" spans="2:15" x14ac:dyDescent="0.35">
      <c r="B88" s="96" t="e">
        <f>VLOOKUP(C88,[1]!Companies[#Data],3,FALSE)</f>
        <v>#REF!</v>
      </c>
      <c r="C88" s="96" t="s">
        <v>674</v>
      </c>
      <c r="D88" s="96" t="s">
        <v>713</v>
      </c>
      <c r="E88" s="96" t="s">
        <v>799</v>
      </c>
      <c r="F88" s="96" t="s">
        <v>58</v>
      </c>
      <c r="G88" s="96" t="s">
        <v>58</v>
      </c>
      <c r="H88" s="96" t="s">
        <v>673</v>
      </c>
      <c r="I88" s="96" t="s">
        <v>52</v>
      </c>
      <c r="J88" s="373">
        <f>1460634.04</f>
        <v>1460634.04</v>
      </c>
      <c r="K88" s="105" t="s">
        <v>461</v>
      </c>
      <c r="L88" s="105" t="s">
        <v>461</v>
      </c>
      <c r="M88" s="105" t="s">
        <v>461</v>
      </c>
      <c r="N88" s="96"/>
      <c r="O88" s="96"/>
    </row>
    <row r="89" spans="2:15" x14ac:dyDescent="0.35">
      <c r="B89" s="96" t="e">
        <f>VLOOKUP(C89,[1]!Companies[#Data],3,FALSE)</f>
        <v>#REF!</v>
      </c>
      <c r="C89" s="96" t="s">
        <v>674</v>
      </c>
      <c r="D89" s="96" t="s">
        <v>713</v>
      </c>
      <c r="E89" s="96" t="s">
        <v>800</v>
      </c>
      <c r="F89" s="96" t="s">
        <v>58</v>
      </c>
      <c r="G89" s="96" t="s">
        <v>58</v>
      </c>
      <c r="H89" s="96" t="s">
        <v>673</v>
      </c>
      <c r="I89" s="96" t="s">
        <v>52</v>
      </c>
      <c r="J89" s="373">
        <f>10897067</f>
        <v>10897067</v>
      </c>
      <c r="K89" s="105" t="s">
        <v>461</v>
      </c>
      <c r="L89" s="105" t="s">
        <v>461</v>
      </c>
      <c r="M89" s="105" t="s">
        <v>461</v>
      </c>
      <c r="N89" s="96"/>
      <c r="O89" s="96"/>
    </row>
    <row r="90" spans="2:15" x14ac:dyDescent="0.35">
      <c r="B90" s="96" t="e">
        <f>VLOOKUP(C90,[1]!Companies[#Data],3,FALSE)</f>
        <v>#REF!</v>
      </c>
      <c r="C90" s="96" t="s">
        <v>674</v>
      </c>
      <c r="D90" s="96" t="s">
        <v>549</v>
      </c>
      <c r="E90" s="96" t="s">
        <v>746</v>
      </c>
      <c r="F90" s="96" t="s">
        <v>58</v>
      </c>
      <c r="G90" s="96" t="s">
        <v>58</v>
      </c>
      <c r="H90" s="96" t="s">
        <v>673</v>
      </c>
      <c r="I90" s="96" t="s">
        <v>52</v>
      </c>
      <c r="J90" s="373">
        <f>415623.93</f>
        <v>415623.93</v>
      </c>
      <c r="K90" s="105" t="s">
        <v>461</v>
      </c>
      <c r="L90" s="105" t="s">
        <v>461</v>
      </c>
      <c r="M90" s="105" t="s">
        <v>461</v>
      </c>
      <c r="N90" s="96"/>
      <c r="O90" s="96"/>
    </row>
    <row r="91" spans="2:15" x14ac:dyDescent="0.35">
      <c r="B91" s="96" t="e">
        <f>VLOOKUP(C91,[1]!Companies[#Data],3,FALSE)</f>
        <v>#REF!</v>
      </c>
      <c r="C91" s="96" t="s">
        <v>674</v>
      </c>
      <c r="D91" s="96" t="s">
        <v>549</v>
      </c>
      <c r="E91" s="96" t="s">
        <v>793</v>
      </c>
      <c r="F91" s="96" t="s">
        <v>58</v>
      </c>
      <c r="G91" s="96" t="s">
        <v>58</v>
      </c>
      <c r="H91" s="96" t="s">
        <v>673</v>
      </c>
      <c r="I91" s="96" t="s">
        <v>52</v>
      </c>
      <c r="J91" s="373">
        <f>972541.87</f>
        <v>972541.87</v>
      </c>
      <c r="K91" s="105" t="s">
        <v>461</v>
      </c>
      <c r="L91" s="105" t="s">
        <v>461</v>
      </c>
      <c r="M91" s="105" t="s">
        <v>461</v>
      </c>
      <c r="N91" s="96"/>
      <c r="O91" s="96"/>
    </row>
    <row r="92" spans="2:15" x14ac:dyDescent="0.35">
      <c r="B92" s="96" t="e">
        <f>VLOOKUP(C92,[1]!Companies[#Data],3,FALSE)</f>
        <v>#REF!</v>
      </c>
      <c r="C92" s="96" t="s">
        <v>674</v>
      </c>
      <c r="D92" s="96" t="s">
        <v>796</v>
      </c>
      <c r="E92" s="96" t="s">
        <v>797</v>
      </c>
      <c r="F92" s="96" t="s">
        <v>58</v>
      </c>
      <c r="G92" s="96" t="s">
        <v>58</v>
      </c>
      <c r="H92" s="96" t="s">
        <v>673</v>
      </c>
      <c r="I92" s="96" t="s">
        <v>52</v>
      </c>
      <c r="J92" s="373">
        <f>254000</f>
        <v>254000</v>
      </c>
      <c r="K92" s="105" t="s">
        <v>461</v>
      </c>
      <c r="L92" s="105" t="s">
        <v>461</v>
      </c>
      <c r="M92" s="105" t="s">
        <v>461</v>
      </c>
      <c r="N92" s="96"/>
      <c r="O92" s="96"/>
    </row>
    <row r="93" spans="2:15" x14ac:dyDescent="0.35">
      <c r="B93" s="96" t="e">
        <f>VLOOKUP(C93,[1]!Companies[#Data],3,FALSE)</f>
        <v>#REF!</v>
      </c>
      <c r="C93" s="96" t="s">
        <v>815</v>
      </c>
      <c r="D93" s="96" t="s">
        <v>725</v>
      </c>
      <c r="E93" s="96" t="s">
        <v>784</v>
      </c>
      <c r="F93" s="96" t="s">
        <v>58</v>
      </c>
      <c r="G93" s="96" t="s">
        <v>58</v>
      </c>
      <c r="H93" s="96" t="s">
        <v>816</v>
      </c>
      <c r="I93" s="96" t="s">
        <v>52</v>
      </c>
      <c r="J93" s="373">
        <f>1276222.1</f>
        <v>1276222.1000000001</v>
      </c>
      <c r="K93" s="105" t="s">
        <v>461</v>
      </c>
      <c r="L93" s="105" t="s">
        <v>461</v>
      </c>
      <c r="M93" s="105" t="s">
        <v>461</v>
      </c>
      <c r="N93" s="96"/>
      <c r="O93" s="96"/>
    </row>
    <row r="94" spans="2:15" x14ac:dyDescent="0.35">
      <c r="B94" s="96" t="e">
        <f>VLOOKUP(C94,[1]!Companies[#Data],3,FALSE)</f>
        <v>#REF!</v>
      </c>
      <c r="C94" s="96" t="s">
        <v>815</v>
      </c>
      <c r="D94" s="96" t="s">
        <v>725</v>
      </c>
      <c r="E94" s="96" t="s">
        <v>807</v>
      </c>
      <c r="F94" s="96" t="s">
        <v>58</v>
      </c>
      <c r="G94" s="96" t="s">
        <v>58</v>
      </c>
      <c r="H94" s="96" t="s">
        <v>816</v>
      </c>
      <c r="I94" s="96" t="s">
        <v>52</v>
      </c>
      <c r="J94" s="373">
        <f>19212.57</f>
        <v>19212.57</v>
      </c>
      <c r="K94" s="105" t="s">
        <v>461</v>
      </c>
      <c r="L94" s="105" t="s">
        <v>461</v>
      </c>
      <c r="M94" s="105" t="s">
        <v>461</v>
      </c>
      <c r="N94" s="96"/>
      <c r="O94" s="96"/>
    </row>
    <row r="95" spans="2:15" x14ac:dyDescent="0.35">
      <c r="B95" s="96" t="e">
        <f>VLOOKUP(C95,[1]!Companies[#Data],3,FALSE)</f>
        <v>#REF!</v>
      </c>
      <c r="C95" s="96" t="s">
        <v>815</v>
      </c>
      <c r="D95" s="96" t="s">
        <v>725</v>
      </c>
      <c r="E95" s="96" t="s">
        <v>787</v>
      </c>
      <c r="F95" s="96" t="s">
        <v>58</v>
      </c>
      <c r="G95" s="96" t="s">
        <v>58</v>
      </c>
      <c r="H95" s="96" t="s">
        <v>816</v>
      </c>
      <c r="I95" s="96" t="s">
        <v>52</v>
      </c>
      <c r="J95" s="373">
        <f>9753.31</f>
        <v>9753.31</v>
      </c>
      <c r="K95" s="105" t="s">
        <v>461</v>
      </c>
      <c r="L95" s="105" t="s">
        <v>461</v>
      </c>
      <c r="M95" s="105" t="s">
        <v>461</v>
      </c>
      <c r="N95" s="96"/>
      <c r="O95" s="96"/>
    </row>
    <row r="96" spans="2:15" x14ac:dyDescent="0.35">
      <c r="B96" s="96" t="e">
        <f>VLOOKUP(C96,[1]!Companies[#Data],3,FALSE)</f>
        <v>#REF!</v>
      </c>
      <c r="C96" s="96" t="s">
        <v>636</v>
      </c>
      <c r="D96" s="96" t="s">
        <v>725</v>
      </c>
      <c r="E96" s="96" t="s">
        <v>784</v>
      </c>
      <c r="F96" s="96" t="s">
        <v>58</v>
      </c>
      <c r="G96" s="96" t="s">
        <v>58</v>
      </c>
      <c r="H96" s="96" t="s">
        <v>817</v>
      </c>
      <c r="I96" s="96" t="s">
        <v>52</v>
      </c>
      <c r="J96" s="373">
        <f>8757660.91</f>
        <v>8757660.9100000001</v>
      </c>
      <c r="K96" s="105" t="s">
        <v>461</v>
      </c>
      <c r="L96" s="105" t="s">
        <v>461</v>
      </c>
      <c r="M96" s="105" t="s">
        <v>461</v>
      </c>
      <c r="N96" s="96"/>
      <c r="O96" s="96"/>
    </row>
    <row r="97" spans="2:15" x14ac:dyDescent="0.35">
      <c r="B97" s="96" t="e">
        <f>VLOOKUP(C97,[1]!Companies[#Data],3,FALSE)</f>
        <v>#REF!</v>
      </c>
      <c r="C97" s="96" t="s">
        <v>636</v>
      </c>
      <c r="D97" s="96" t="s">
        <v>725</v>
      </c>
      <c r="E97" s="96" t="s">
        <v>807</v>
      </c>
      <c r="F97" s="96" t="s">
        <v>58</v>
      </c>
      <c r="G97" s="96" t="s">
        <v>58</v>
      </c>
      <c r="H97" s="96" t="s">
        <v>817</v>
      </c>
      <c r="I97" s="96" t="s">
        <v>52</v>
      </c>
      <c r="J97" s="373">
        <f>415694.02</f>
        <v>415694.02</v>
      </c>
      <c r="K97" s="105" t="s">
        <v>461</v>
      </c>
      <c r="L97" s="105" t="s">
        <v>461</v>
      </c>
      <c r="M97" s="105" t="s">
        <v>461</v>
      </c>
      <c r="N97" s="96"/>
      <c r="O97" s="96"/>
    </row>
    <row r="98" spans="2:15" x14ac:dyDescent="0.35">
      <c r="B98" s="96" t="e">
        <f>VLOOKUP(C98,[1]!Companies[#Data],3,FALSE)</f>
        <v>#REF!</v>
      </c>
      <c r="C98" s="96" t="s">
        <v>636</v>
      </c>
      <c r="D98" s="96" t="s">
        <v>725</v>
      </c>
      <c r="E98" s="96" t="s">
        <v>809</v>
      </c>
      <c r="F98" s="96" t="s">
        <v>58</v>
      </c>
      <c r="G98" s="96" t="s">
        <v>58</v>
      </c>
      <c r="H98" s="96" t="s">
        <v>817</v>
      </c>
      <c r="I98" s="96" t="s">
        <v>52</v>
      </c>
      <c r="J98" s="373">
        <f>4002.67</f>
        <v>4002.67</v>
      </c>
      <c r="K98" s="105" t="s">
        <v>461</v>
      </c>
      <c r="L98" s="105" t="s">
        <v>461</v>
      </c>
      <c r="M98" s="105" t="s">
        <v>461</v>
      </c>
      <c r="N98" s="96"/>
      <c r="O98" s="96"/>
    </row>
    <row r="99" spans="2:15" x14ac:dyDescent="0.35">
      <c r="B99" s="96" t="e">
        <f>VLOOKUP(C99,[1]!Companies[#Data],3,FALSE)</f>
        <v>#REF!</v>
      </c>
      <c r="C99" s="96" t="s">
        <v>636</v>
      </c>
      <c r="D99" s="96" t="s">
        <v>725</v>
      </c>
      <c r="E99" s="96" t="s">
        <v>787</v>
      </c>
      <c r="F99" s="96" t="s">
        <v>58</v>
      </c>
      <c r="G99" s="96" t="s">
        <v>58</v>
      </c>
      <c r="H99" s="96" t="s">
        <v>817</v>
      </c>
      <c r="I99" s="96" t="s">
        <v>52</v>
      </c>
      <c r="J99" s="373">
        <f>54611.5</f>
        <v>54611.5</v>
      </c>
      <c r="K99" s="105" t="s">
        <v>461</v>
      </c>
      <c r="L99" s="105" t="s">
        <v>461</v>
      </c>
      <c r="M99" s="105" t="s">
        <v>461</v>
      </c>
      <c r="N99" s="96"/>
      <c r="O99" s="96"/>
    </row>
    <row r="100" spans="2:15" x14ac:dyDescent="0.35">
      <c r="B100" s="96" t="e">
        <f>VLOOKUP(C100,[1]!Companies[#Data],3,FALSE)</f>
        <v>#REF!</v>
      </c>
      <c r="C100" s="96" t="s">
        <v>595</v>
      </c>
      <c r="D100" s="96" t="s">
        <v>725</v>
      </c>
      <c r="E100" s="96" t="s">
        <v>784</v>
      </c>
      <c r="F100" s="96" t="s">
        <v>58</v>
      </c>
      <c r="G100" s="96" t="s">
        <v>58</v>
      </c>
      <c r="H100" s="96" t="s">
        <v>818</v>
      </c>
      <c r="I100" s="96" t="s">
        <v>52</v>
      </c>
      <c r="J100" s="373">
        <f>90439109.14</f>
        <v>90439109.140000001</v>
      </c>
      <c r="K100" s="105" t="s">
        <v>461</v>
      </c>
      <c r="L100" s="105" t="s">
        <v>461</v>
      </c>
      <c r="M100" s="105" t="s">
        <v>461</v>
      </c>
      <c r="N100" s="96"/>
      <c r="O100" s="96"/>
    </row>
    <row r="101" spans="2:15" x14ac:dyDescent="0.35">
      <c r="B101" s="96" t="e">
        <f>VLOOKUP(C101,[1]!Companies[#Data],3,FALSE)</f>
        <v>#REF!</v>
      </c>
      <c r="C101" s="96" t="s">
        <v>595</v>
      </c>
      <c r="D101" s="96" t="s">
        <v>725</v>
      </c>
      <c r="E101" s="96" t="s">
        <v>807</v>
      </c>
      <c r="F101" s="96" t="s">
        <v>58</v>
      </c>
      <c r="G101" s="96" t="s">
        <v>58</v>
      </c>
      <c r="H101" s="96" t="s">
        <v>818</v>
      </c>
      <c r="I101" s="96" t="s">
        <v>52</v>
      </c>
      <c r="J101" s="373">
        <f>28722528.16</f>
        <v>28722528.16</v>
      </c>
      <c r="K101" s="105" t="s">
        <v>461</v>
      </c>
      <c r="L101" s="105" t="s">
        <v>461</v>
      </c>
      <c r="M101" s="105" t="s">
        <v>461</v>
      </c>
      <c r="N101" s="96"/>
      <c r="O101" s="96"/>
    </row>
    <row r="102" spans="2:15" x14ac:dyDescent="0.35">
      <c r="B102" s="96" t="e">
        <f>VLOOKUP(C102,[1]!Companies[#Data],3,FALSE)</f>
        <v>#REF!</v>
      </c>
      <c r="C102" s="96" t="s">
        <v>595</v>
      </c>
      <c r="D102" s="96" t="s">
        <v>725</v>
      </c>
      <c r="E102" s="96" t="s">
        <v>819</v>
      </c>
      <c r="F102" s="96" t="s">
        <v>58</v>
      </c>
      <c r="G102" s="96" t="s">
        <v>58</v>
      </c>
      <c r="H102" s="96" t="s">
        <v>818</v>
      </c>
      <c r="I102" s="96" t="s">
        <v>52</v>
      </c>
      <c r="J102" s="373">
        <f>11867024.8</f>
        <v>11867024.800000001</v>
      </c>
      <c r="K102" s="105" t="s">
        <v>461</v>
      </c>
      <c r="L102" s="105" t="s">
        <v>461</v>
      </c>
      <c r="M102" s="105" t="s">
        <v>461</v>
      </c>
      <c r="N102" s="96"/>
      <c r="O102" s="96"/>
    </row>
    <row r="103" spans="2:15" x14ac:dyDescent="0.35">
      <c r="B103" s="96" t="e">
        <f>VLOOKUP(C103,[1]!Companies[#Data],3,FALSE)</f>
        <v>#REF!</v>
      </c>
      <c r="C103" s="96" t="s">
        <v>595</v>
      </c>
      <c r="D103" s="96" t="s">
        <v>725</v>
      </c>
      <c r="E103" s="96" t="s">
        <v>786</v>
      </c>
      <c r="F103" s="96" t="s">
        <v>58</v>
      </c>
      <c r="G103" s="96" t="s">
        <v>58</v>
      </c>
      <c r="H103" s="96" t="s">
        <v>818</v>
      </c>
      <c r="I103" s="96" t="s">
        <v>52</v>
      </c>
      <c r="J103" s="373">
        <f>30938.66</f>
        <v>30938.66</v>
      </c>
      <c r="K103" s="105" t="s">
        <v>461</v>
      </c>
      <c r="L103" s="105" t="s">
        <v>461</v>
      </c>
      <c r="M103" s="105" t="s">
        <v>461</v>
      </c>
      <c r="N103" s="96"/>
      <c r="O103" s="96"/>
    </row>
    <row r="104" spans="2:15" x14ac:dyDescent="0.35">
      <c r="B104" s="96" t="e">
        <f>VLOOKUP(C104,[1]!Companies[#Data],3,FALSE)</f>
        <v>#REF!</v>
      </c>
      <c r="C104" s="96" t="s">
        <v>595</v>
      </c>
      <c r="D104" s="96" t="s">
        <v>725</v>
      </c>
      <c r="E104" s="96" t="s">
        <v>789</v>
      </c>
      <c r="F104" s="96" t="s">
        <v>58</v>
      </c>
      <c r="G104" s="96" t="s">
        <v>58</v>
      </c>
      <c r="H104" s="96" t="s">
        <v>818</v>
      </c>
      <c r="I104" s="96" t="s">
        <v>52</v>
      </c>
      <c r="J104" s="373">
        <f>229698.74</f>
        <v>229698.74</v>
      </c>
      <c r="K104" s="105" t="s">
        <v>461</v>
      </c>
      <c r="L104" s="105" t="s">
        <v>461</v>
      </c>
      <c r="M104" s="105" t="s">
        <v>461</v>
      </c>
      <c r="N104" s="96"/>
      <c r="O104" s="96"/>
    </row>
    <row r="105" spans="2:15" x14ac:dyDescent="0.35">
      <c r="B105" s="96" t="e">
        <f>VLOOKUP(C105,[1]!Companies[#Data],3,FALSE)</f>
        <v>#REF!</v>
      </c>
      <c r="C105" s="96" t="s">
        <v>595</v>
      </c>
      <c r="D105" s="96" t="s">
        <v>549</v>
      </c>
      <c r="E105" s="96" t="s">
        <v>746</v>
      </c>
      <c r="F105" s="96" t="s">
        <v>58</v>
      </c>
      <c r="G105" s="96" t="s">
        <v>58</v>
      </c>
      <c r="H105" s="96" t="s">
        <v>818</v>
      </c>
      <c r="I105" s="96" t="s">
        <v>52</v>
      </c>
      <c r="J105" s="373">
        <f>1617920.35</f>
        <v>1617920.35</v>
      </c>
      <c r="K105" s="105" t="s">
        <v>461</v>
      </c>
      <c r="L105" s="105" t="s">
        <v>461</v>
      </c>
      <c r="M105" s="105" t="s">
        <v>461</v>
      </c>
      <c r="N105" s="96"/>
      <c r="O105" s="96"/>
    </row>
    <row r="106" spans="2:15" x14ac:dyDescent="0.35">
      <c r="B106" s="96" t="e">
        <f>VLOOKUP(C106,[1]!Companies[#Data],3,FALSE)</f>
        <v>#REF!</v>
      </c>
      <c r="C106" s="96" t="s">
        <v>595</v>
      </c>
      <c r="D106" s="96" t="s">
        <v>549</v>
      </c>
      <c r="E106" s="96" t="s">
        <v>793</v>
      </c>
      <c r="F106" s="96" t="s">
        <v>58</v>
      </c>
      <c r="G106" s="96" t="s">
        <v>58</v>
      </c>
      <c r="H106" s="96" t="s">
        <v>818</v>
      </c>
      <c r="I106" s="96" t="s">
        <v>52</v>
      </c>
      <c r="J106" s="373">
        <v>200.54</v>
      </c>
      <c r="K106" s="105" t="s">
        <v>461</v>
      </c>
      <c r="L106" s="105" t="s">
        <v>461</v>
      </c>
      <c r="M106" s="105" t="s">
        <v>461</v>
      </c>
      <c r="N106" s="96"/>
      <c r="O106" s="96"/>
    </row>
    <row r="107" spans="2:15" x14ac:dyDescent="0.35">
      <c r="B107" s="96" t="e">
        <f>VLOOKUP(C107,[1]!Companies[#Data],3,FALSE)</f>
        <v>#REF!</v>
      </c>
      <c r="C107" s="96" t="s">
        <v>595</v>
      </c>
      <c r="D107" s="96" t="s">
        <v>725</v>
      </c>
      <c r="E107" s="96" t="s">
        <v>819</v>
      </c>
      <c r="F107" s="96" t="s">
        <v>58</v>
      </c>
      <c r="G107" s="96" t="s">
        <v>58</v>
      </c>
      <c r="H107" s="96" t="s">
        <v>820</v>
      </c>
      <c r="I107" s="96" t="s">
        <v>52</v>
      </c>
      <c r="J107" s="373">
        <f>28114214.58</f>
        <v>28114214.579999998</v>
      </c>
      <c r="K107" s="105" t="s">
        <v>461</v>
      </c>
      <c r="L107" s="105" t="s">
        <v>461</v>
      </c>
      <c r="M107" s="105" t="s">
        <v>461</v>
      </c>
      <c r="N107" s="96"/>
      <c r="O107" s="96"/>
    </row>
    <row r="108" spans="2:15" x14ac:dyDescent="0.35">
      <c r="B108" s="96" t="e">
        <f>VLOOKUP(C108,[1]!Companies[#Data],3,FALSE)</f>
        <v>#REF!</v>
      </c>
      <c r="C108" s="96" t="s">
        <v>821</v>
      </c>
      <c r="D108" s="96" t="s">
        <v>725</v>
      </c>
      <c r="E108" s="96" t="s">
        <v>786</v>
      </c>
      <c r="F108" s="96" t="s">
        <v>58</v>
      </c>
      <c r="G108" s="96" t="s">
        <v>58</v>
      </c>
      <c r="H108" s="96" t="s">
        <v>820</v>
      </c>
      <c r="I108" s="96" t="s">
        <v>52</v>
      </c>
      <c r="J108" s="373">
        <f>6787.33</f>
        <v>6787.33</v>
      </c>
      <c r="K108" s="105" t="s">
        <v>461</v>
      </c>
      <c r="L108" s="105" t="s">
        <v>461</v>
      </c>
      <c r="M108" s="105" t="s">
        <v>461</v>
      </c>
      <c r="N108" s="96"/>
      <c r="O108" s="96"/>
    </row>
    <row r="109" spans="2:15" x14ac:dyDescent="0.35">
      <c r="B109" s="96" t="e">
        <f>VLOOKUP(C109,[1]!Companies[#Data],3,FALSE)</f>
        <v>#REF!</v>
      </c>
      <c r="C109" s="96" t="s">
        <v>601</v>
      </c>
      <c r="D109" s="96" t="s">
        <v>725</v>
      </c>
      <c r="E109" s="96" t="s">
        <v>783</v>
      </c>
      <c r="F109" s="96" t="s">
        <v>58</v>
      </c>
      <c r="G109" s="96" t="s">
        <v>58</v>
      </c>
      <c r="H109" s="96" t="s">
        <v>820</v>
      </c>
      <c r="I109" s="96" t="s">
        <v>52</v>
      </c>
      <c r="J109" s="373">
        <f>1030278.78</f>
        <v>1030278.78</v>
      </c>
      <c r="K109" s="105" t="s">
        <v>461</v>
      </c>
      <c r="L109" s="105" t="s">
        <v>461</v>
      </c>
      <c r="M109" s="105" t="s">
        <v>461</v>
      </c>
      <c r="N109" s="96"/>
      <c r="O109" s="96"/>
    </row>
    <row r="110" spans="2:15" x14ac:dyDescent="0.35">
      <c r="B110" s="96" t="e">
        <f>VLOOKUP(C110,[1]!Companies[#Data],3,FALSE)</f>
        <v>#REF!</v>
      </c>
      <c r="C110" s="96" t="s">
        <v>601</v>
      </c>
      <c r="D110" s="96" t="s">
        <v>725</v>
      </c>
      <c r="E110" s="96" t="s">
        <v>786</v>
      </c>
      <c r="F110" s="96" t="s">
        <v>58</v>
      </c>
      <c r="G110" s="96" t="s">
        <v>58</v>
      </c>
      <c r="H110" s="96" t="s">
        <v>820</v>
      </c>
      <c r="I110" s="96" t="s">
        <v>52</v>
      </c>
      <c r="J110" s="373">
        <f>3943.71</f>
        <v>3943.71</v>
      </c>
      <c r="K110" s="105" t="s">
        <v>461</v>
      </c>
      <c r="L110" s="105" t="s">
        <v>461</v>
      </c>
      <c r="M110" s="105" t="s">
        <v>461</v>
      </c>
      <c r="N110" s="96"/>
      <c r="O110" s="96"/>
    </row>
    <row r="111" spans="2:15" x14ac:dyDescent="0.35">
      <c r="B111" s="96" t="e">
        <f>VLOOKUP(C111,[1]!Companies[#Data],3,FALSE)</f>
        <v>#REF!</v>
      </c>
      <c r="C111" s="96" t="s">
        <v>574</v>
      </c>
      <c r="D111" s="96" t="s">
        <v>725</v>
      </c>
      <c r="E111" s="96" t="s">
        <v>809</v>
      </c>
      <c r="F111" s="96" t="s">
        <v>58</v>
      </c>
      <c r="G111" s="96" t="s">
        <v>58</v>
      </c>
      <c r="H111" s="96" t="s">
        <v>820</v>
      </c>
      <c r="I111" s="96" t="s">
        <v>52</v>
      </c>
      <c r="J111" s="373">
        <f>1743887.02</f>
        <v>1743887.02</v>
      </c>
      <c r="K111" s="105" t="s">
        <v>461</v>
      </c>
      <c r="L111" s="105" t="s">
        <v>461</v>
      </c>
      <c r="M111" s="105" t="s">
        <v>461</v>
      </c>
      <c r="N111" s="96"/>
      <c r="O111" s="96"/>
    </row>
    <row r="112" spans="2:15" x14ac:dyDescent="0.35">
      <c r="B112" s="96" t="e">
        <f>VLOOKUP(C112,[1]!Companies[#Data],3,FALSE)</f>
        <v>#REF!</v>
      </c>
      <c r="C112" s="96" t="s">
        <v>589</v>
      </c>
      <c r="D112" s="96" t="s">
        <v>725</v>
      </c>
      <c r="E112" s="96" t="s">
        <v>783</v>
      </c>
      <c r="F112" s="96" t="s">
        <v>58</v>
      </c>
      <c r="G112" s="96" t="s">
        <v>58</v>
      </c>
      <c r="H112" s="96" t="s">
        <v>820</v>
      </c>
      <c r="I112" s="96" t="s">
        <v>52</v>
      </c>
      <c r="J112" s="373">
        <f>47097474.98</f>
        <v>47097474.979999997</v>
      </c>
      <c r="K112" s="105" t="s">
        <v>461</v>
      </c>
      <c r="L112" s="105" t="s">
        <v>461</v>
      </c>
      <c r="M112" s="105" t="s">
        <v>461</v>
      </c>
      <c r="N112" s="96"/>
      <c r="O112" s="96"/>
    </row>
    <row r="113" spans="2:15" x14ac:dyDescent="0.35">
      <c r="B113" s="96" t="e">
        <f>VLOOKUP(C113,[1]!Companies[#Data],3,FALSE)</f>
        <v>#REF!</v>
      </c>
      <c r="C113" s="96" t="s">
        <v>595</v>
      </c>
      <c r="D113" s="96" t="s">
        <v>725</v>
      </c>
      <c r="E113" s="96" t="s">
        <v>819</v>
      </c>
      <c r="F113" s="96" t="s">
        <v>58</v>
      </c>
      <c r="G113" s="96" t="s">
        <v>58</v>
      </c>
      <c r="H113" s="96" t="s">
        <v>822</v>
      </c>
      <c r="I113" s="96" t="s">
        <v>52</v>
      </c>
      <c r="J113" s="373">
        <f>251866.64</f>
        <v>251866.64</v>
      </c>
      <c r="K113" s="105" t="s">
        <v>461</v>
      </c>
      <c r="L113" s="105" t="s">
        <v>461</v>
      </c>
      <c r="M113" s="105" t="s">
        <v>461</v>
      </c>
      <c r="N113" s="96"/>
      <c r="O113" s="96"/>
    </row>
    <row r="114" spans="2:15" x14ac:dyDescent="0.35">
      <c r="B114" s="96" t="e">
        <f>VLOOKUP(C114,[1]!Companies[#Data],3,FALSE)</f>
        <v>#REF!</v>
      </c>
      <c r="C114" s="96" t="s">
        <v>602</v>
      </c>
      <c r="D114" s="96" t="s">
        <v>725</v>
      </c>
      <c r="E114" s="96" t="s">
        <v>783</v>
      </c>
      <c r="F114" s="96" t="s">
        <v>58</v>
      </c>
      <c r="G114" s="96" t="s">
        <v>58</v>
      </c>
      <c r="H114" s="96" t="s">
        <v>823</v>
      </c>
      <c r="I114" s="96" t="s">
        <v>52</v>
      </c>
      <c r="J114" s="373">
        <f>587289.73</f>
        <v>587289.73</v>
      </c>
      <c r="K114" s="105" t="s">
        <v>461</v>
      </c>
      <c r="L114" s="105" t="s">
        <v>461</v>
      </c>
      <c r="M114" s="105" t="s">
        <v>461</v>
      </c>
      <c r="N114" s="96"/>
      <c r="O114" s="96"/>
    </row>
    <row r="115" spans="2:15" x14ac:dyDescent="0.35">
      <c r="B115" s="96" t="e">
        <f>VLOOKUP(C115,[1]!Companies[#Data],3,FALSE)</f>
        <v>#REF!</v>
      </c>
      <c r="C115" s="96" t="s">
        <v>590</v>
      </c>
      <c r="D115" s="96" t="s">
        <v>725</v>
      </c>
      <c r="E115" s="96" t="s">
        <v>784</v>
      </c>
      <c r="F115" s="96" t="s">
        <v>58</v>
      </c>
      <c r="G115" s="96" t="s">
        <v>58</v>
      </c>
      <c r="H115" s="96" t="s">
        <v>823</v>
      </c>
      <c r="I115" s="96" t="s">
        <v>52</v>
      </c>
      <c r="J115" s="373">
        <f>38779.46</f>
        <v>38779.46</v>
      </c>
      <c r="K115" s="105" t="s">
        <v>461</v>
      </c>
      <c r="L115" s="105" t="s">
        <v>461</v>
      </c>
      <c r="M115" s="105" t="s">
        <v>461</v>
      </c>
      <c r="N115" s="96"/>
      <c r="O115" s="96"/>
    </row>
    <row r="116" spans="2:15" x14ac:dyDescent="0.35">
      <c r="B116" s="96" t="e">
        <f>VLOOKUP(C116,[1]!Companies[#Data],3,FALSE)</f>
        <v>#REF!</v>
      </c>
      <c r="C116" s="96" t="s">
        <v>592</v>
      </c>
      <c r="D116" s="96" t="s">
        <v>725</v>
      </c>
      <c r="E116" s="96" t="s">
        <v>784</v>
      </c>
      <c r="F116" s="96" t="s">
        <v>58</v>
      </c>
      <c r="G116" s="96" t="s">
        <v>58</v>
      </c>
      <c r="H116" s="96" t="s">
        <v>823</v>
      </c>
      <c r="I116" s="96" t="s">
        <v>52</v>
      </c>
      <c r="J116" s="373">
        <f>279209.54</f>
        <v>279209.53999999998</v>
      </c>
      <c r="K116" s="105" t="s">
        <v>461</v>
      </c>
      <c r="L116" s="105" t="s">
        <v>461</v>
      </c>
      <c r="M116" s="105" t="s">
        <v>461</v>
      </c>
      <c r="N116" s="96"/>
      <c r="O116" s="96"/>
    </row>
    <row r="117" spans="2:15" x14ac:dyDescent="0.35">
      <c r="B117" s="96" t="e">
        <f>VLOOKUP(C117,[1]!Companies[#Data],3,FALSE)</f>
        <v>#REF!</v>
      </c>
      <c r="C117" s="96" t="s">
        <v>600</v>
      </c>
      <c r="D117" s="96" t="s">
        <v>725</v>
      </c>
      <c r="E117" s="96" t="s">
        <v>783</v>
      </c>
      <c r="F117" s="96" t="s">
        <v>58</v>
      </c>
      <c r="G117" s="96" t="s">
        <v>58</v>
      </c>
      <c r="H117" s="96" t="s">
        <v>823</v>
      </c>
      <c r="I117" s="96" t="s">
        <v>52</v>
      </c>
      <c r="J117" s="373">
        <v>2832439.63</v>
      </c>
      <c r="K117" s="105" t="s">
        <v>461</v>
      </c>
      <c r="L117" s="105" t="s">
        <v>461</v>
      </c>
      <c r="M117" s="105" t="s">
        <v>461</v>
      </c>
      <c r="N117" s="96"/>
      <c r="O117" s="96"/>
    </row>
    <row r="118" spans="2:15" x14ac:dyDescent="0.35">
      <c r="B118" s="96" t="e">
        <f>VLOOKUP(C118,[1]!Companies[#Data],3,FALSE)</f>
        <v>#REF!</v>
      </c>
      <c r="C118" s="96" t="s">
        <v>593</v>
      </c>
      <c r="D118" s="96" t="s">
        <v>725</v>
      </c>
      <c r="E118" s="96" t="s">
        <v>786</v>
      </c>
      <c r="F118" s="96" t="s">
        <v>58</v>
      </c>
      <c r="G118" s="96" t="s">
        <v>58</v>
      </c>
      <c r="H118" s="96" t="s">
        <v>824</v>
      </c>
      <c r="I118" s="96" t="s">
        <v>52</v>
      </c>
      <c r="J118" s="373">
        <f>1112280</f>
        <v>1112280</v>
      </c>
      <c r="K118" s="105" t="s">
        <v>461</v>
      </c>
      <c r="L118" s="105" t="s">
        <v>461</v>
      </c>
      <c r="M118" s="105" t="s">
        <v>461</v>
      </c>
      <c r="N118" s="96"/>
      <c r="O118" s="96"/>
    </row>
    <row r="119" spans="2:15" x14ac:dyDescent="0.35">
      <c r="B119" s="96" t="e">
        <f>VLOOKUP(C119,[1]!Companies[#Data],3,FALSE)</f>
        <v>#REF!</v>
      </c>
      <c r="C119" s="96" t="s">
        <v>591</v>
      </c>
      <c r="D119" s="96" t="s">
        <v>725</v>
      </c>
      <c r="E119" s="96" t="s">
        <v>784</v>
      </c>
      <c r="F119" s="96" t="s">
        <v>58</v>
      </c>
      <c r="G119" s="96" t="s">
        <v>58</v>
      </c>
      <c r="H119" s="96" t="s">
        <v>824</v>
      </c>
      <c r="I119" s="96" t="s">
        <v>52</v>
      </c>
      <c r="J119" s="373">
        <f>73729.4</f>
        <v>73729.399999999994</v>
      </c>
      <c r="K119" s="105" t="s">
        <v>461</v>
      </c>
      <c r="L119" s="105" t="s">
        <v>461</v>
      </c>
      <c r="M119" s="105" t="s">
        <v>461</v>
      </c>
      <c r="N119" s="96"/>
      <c r="O119" s="96"/>
    </row>
    <row r="120" spans="2:15" x14ac:dyDescent="0.35">
      <c r="B120" s="96" t="e">
        <f>VLOOKUP(C120,[1]!Companies[#Data],3,FALSE)</f>
        <v>#REF!</v>
      </c>
      <c r="C120" s="96" t="s">
        <v>602</v>
      </c>
      <c r="D120" s="96" t="s">
        <v>725</v>
      </c>
      <c r="E120" s="96" t="s">
        <v>783</v>
      </c>
      <c r="F120" s="96" t="s">
        <v>58</v>
      </c>
      <c r="G120" s="96" t="s">
        <v>58</v>
      </c>
      <c r="H120" s="96" t="s">
        <v>825</v>
      </c>
      <c r="I120" s="96" t="s">
        <v>52</v>
      </c>
      <c r="J120" s="373">
        <f>72938.47</f>
        <v>72938.47</v>
      </c>
      <c r="K120" s="105" t="s">
        <v>461</v>
      </c>
      <c r="L120" s="105" t="s">
        <v>461</v>
      </c>
      <c r="M120" s="105" t="s">
        <v>461</v>
      </c>
      <c r="N120" s="96"/>
      <c r="O120" s="96"/>
    </row>
    <row r="121" spans="2:15" x14ac:dyDescent="0.35">
      <c r="B121" s="96" t="e">
        <f>VLOOKUP(C121,[1]!Companies[#Data],3,FALSE)</f>
        <v>#REF!</v>
      </c>
      <c r="C121" s="96" t="s">
        <v>595</v>
      </c>
      <c r="D121" s="96" t="s">
        <v>725</v>
      </c>
      <c r="E121" s="96" t="s">
        <v>808</v>
      </c>
      <c r="F121" s="96" t="s">
        <v>58</v>
      </c>
      <c r="G121" s="96" t="s">
        <v>58</v>
      </c>
      <c r="H121" s="96" t="s">
        <v>826</v>
      </c>
      <c r="I121" s="96" t="s">
        <v>52</v>
      </c>
      <c r="J121" s="373">
        <f>43246050</f>
        <v>43246050</v>
      </c>
      <c r="K121" s="105" t="s">
        <v>461</v>
      </c>
      <c r="L121" s="105" t="s">
        <v>461</v>
      </c>
      <c r="M121" s="105" t="s">
        <v>461</v>
      </c>
      <c r="N121" s="96"/>
      <c r="O121" s="96"/>
    </row>
    <row r="122" spans="2:15" x14ac:dyDescent="0.35">
      <c r="B122" s="96" t="e">
        <f>VLOOKUP(C122,[1]!Companies[#Data],3,FALSE)</f>
        <v>#REF!</v>
      </c>
      <c r="C122" s="96" t="s">
        <v>595</v>
      </c>
      <c r="D122" s="96" t="s">
        <v>725</v>
      </c>
      <c r="E122" s="96" t="s">
        <v>786</v>
      </c>
      <c r="F122" s="96" t="s">
        <v>58</v>
      </c>
      <c r="G122" s="96" t="s">
        <v>58</v>
      </c>
      <c r="H122" s="96" t="s">
        <v>826</v>
      </c>
      <c r="I122" s="96" t="s">
        <v>52</v>
      </c>
      <c r="J122" s="373">
        <f>7395.45</f>
        <v>7395.45</v>
      </c>
      <c r="K122" s="105" t="s">
        <v>461</v>
      </c>
      <c r="L122" s="105" t="s">
        <v>461</v>
      </c>
      <c r="M122" s="105" t="s">
        <v>461</v>
      </c>
      <c r="N122" s="96"/>
      <c r="O122" s="96"/>
    </row>
    <row r="123" spans="2:15" x14ac:dyDescent="0.35">
      <c r="B123" s="96" t="e">
        <f>VLOOKUP(C123,[1]!Companies[#Data],3,FALSE)</f>
        <v>#REF!</v>
      </c>
      <c r="C123" s="96" t="s">
        <v>595</v>
      </c>
      <c r="D123" s="96" t="s">
        <v>718</v>
      </c>
      <c r="E123" s="96" t="s">
        <v>827</v>
      </c>
      <c r="F123" s="96" t="s">
        <v>58</v>
      </c>
      <c r="G123" s="96" t="s">
        <v>58</v>
      </c>
      <c r="H123" s="96" t="s">
        <v>826</v>
      </c>
      <c r="I123" s="96" t="s">
        <v>52</v>
      </c>
      <c r="J123" s="373">
        <f>2315532</f>
        <v>2315532</v>
      </c>
      <c r="K123" s="105" t="s">
        <v>461</v>
      </c>
      <c r="L123" s="105" t="s">
        <v>461</v>
      </c>
      <c r="M123" s="105" t="s">
        <v>461</v>
      </c>
      <c r="N123" s="96"/>
      <c r="O123" s="96"/>
    </row>
    <row r="124" spans="2:15" x14ac:dyDescent="0.35">
      <c r="B124" s="96" t="e">
        <f>VLOOKUP(C124,[1]!Companies[#Data],3,FALSE)</f>
        <v>#REF!</v>
      </c>
      <c r="C124" s="96" t="s">
        <v>595</v>
      </c>
      <c r="D124" s="96" t="s">
        <v>718</v>
      </c>
      <c r="E124" s="96" t="s">
        <v>828</v>
      </c>
      <c r="F124" s="96" t="s">
        <v>58</v>
      </c>
      <c r="G124" s="96" t="s">
        <v>58</v>
      </c>
      <c r="H124" s="96" t="s">
        <v>826</v>
      </c>
      <c r="I124" s="96" t="s">
        <v>52</v>
      </c>
      <c r="J124" s="373">
        <f>20050388</f>
        <v>20050388</v>
      </c>
      <c r="K124" s="105" t="s">
        <v>461</v>
      </c>
      <c r="L124" s="105" t="s">
        <v>461</v>
      </c>
      <c r="M124" s="105" t="s">
        <v>461</v>
      </c>
      <c r="N124" s="96"/>
      <c r="O124" s="96"/>
    </row>
    <row r="125" spans="2:15" x14ac:dyDescent="0.35">
      <c r="B125" s="96" t="e">
        <f>VLOOKUP(C125,[1]!Companies[#Data],3,FALSE)</f>
        <v>#REF!</v>
      </c>
      <c r="C125" s="96" t="s">
        <v>595</v>
      </c>
      <c r="D125" s="96" t="s">
        <v>794</v>
      </c>
      <c r="E125" s="96" t="s">
        <v>829</v>
      </c>
      <c r="F125" s="96" t="s">
        <v>58</v>
      </c>
      <c r="G125" s="96" t="s">
        <v>58</v>
      </c>
      <c r="H125" s="96" t="s">
        <v>826</v>
      </c>
      <c r="I125" s="96" t="s">
        <v>52</v>
      </c>
      <c r="J125" s="373">
        <f>11065000</f>
        <v>11065000</v>
      </c>
      <c r="K125" s="105" t="s">
        <v>461</v>
      </c>
      <c r="L125" s="105" t="s">
        <v>461</v>
      </c>
      <c r="M125" s="105" t="s">
        <v>461</v>
      </c>
      <c r="N125" s="96"/>
      <c r="O125" s="96"/>
    </row>
    <row r="126" spans="2:15" x14ac:dyDescent="0.35">
      <c r="B126" s="96" t="e">
        <f>VLOOKUP(C126,[1]!Companies[#Data],3,FALSE)</f>
        <v>#REF!</v>
      </c>
      <c r="C126" s="96" t="s">
        <v>595</v>
      </c>
      <c r="D126" s="96" t="s">
        <v>796</v>
      </c>
      <c r="E126" s="96" t="s">
        <v>797</v>
      </c>
      <c r="F126" s="96" t="s">
        <v>58</v>
      </c>
      <c r="G126" s="96" t="s">
        <v>58</v>
      </c>
      <c r="H126" s="96" t="s">
        <v>826</v>
      </c>
      <c r="I126" s="96" t="s">
        <v>52</v>
      </c>
      <c r="J126" s="373">
        <f>1167333</f>
        <v>1167333</v>
      </c>
      <c r="K126" s="105" t="s">
        <v>461</v>
      </c>
      <c r="L126" s="105" t="s">
        <v>461</v>
      </c>
      <c r="M126" s="105" t="s">
        <v>461</v>
      </c>
      <c r="N126" s="96"/>
      <c r="O126" s="96"/>
    </row>
    <row r="127" spans="2:15" x14ac:dyDescent="0.35">
      <c r="B127" s="96" t="e">
        <f>VLOOKUP(C127,[1]!Companies[#Data],3,FALSE)</f>
        <v>#REF!</v>
      </c>
      <c r="C127" s="96" t="s">
        <v>598</v>
      </c>
      <c r="D127" s="96" t="s">
        <v>725</v>
      </c>
      <c r="E127" s="96" t="s">
        <v>808</v>
      </c>
      <c r="F127" s="96" t="s">
        <v>58</v>
      </c>
      <c r="G127" s="96" t="s">
        <v>58</v>
      </c>
      <c r="H127" s="96" t="s">
        <v>826</v>
      </c>
      <c r="I127" s="96" t="s">
        <v>52</v>
      </c>
      <c r="J127" s="373">
        <f>68058038</f>
        <v>68058038</v>
      </c>
      <c r="K127" s="105" t="s">
        <v>461</v>
      </c>
      <c r="L127" s="105" t="s">
        <v>461</v>
      </c>
      <c r="M127" s="105" t="s">
        <v>461</v>
      </c>
      <c r="N127" s="96"/>
      <c r="O127" s="96"/>
    </row>
    <row r="128" spans="2:15" x14ac:dyDescent="0.35">
      <c r="B128" s="96" t="e">
        <f>VLOOKUP(C128,[1]!Companies[#Data],3,FALSE)</f>
        <v>#REF!</v>
      </c>
      <c r="C128" s="96" t="s">
        <v>598</v>
      </c>
      <c r="D128" s="96" t="s">
        <v>725</v>
      </c>
      <c r="E128" s="96" t="s">
        <v>786</v>
      </c>
      <c r="F128" s="96" t="s">
        <v>58</v>
      </c>
      <c r="G128" s="96" t="s">
        <v>58</v>
      </c>
      <c r="H128" s="96" t="s">
        <v>826</v>
      </c>
      <c r="I128" s="96" t="s">
        <v>52</v>
      </c>
      <c r="J128" s="373">
        <f>34559.36</f>
        <v>34559.360000000001</v>
      </c>
      <c r="K128" s="105" t="s">
        <v>461</v>
      </c>
      <c r="L128" s="105" t="s">
        <v>461</v>
      </c>
      <c r="M128" s="105" t="s">
        <v>461</v>
      </c>
      <c r="N128" s="96"/>
      <c r="O128" s="96"/>
    </row>
    <row r="129" spans="2:15" x14ac:dyDescent="0.35">
      <c r="B129" s="96" t="e">
        <f>VLOOKUP(C129,[1]!Companies[#Data],3,FALSE)</f>
        <v>#REF!</v>
      </c>
      <c r="C129" s="96" t="s">
        <v>830</v>
      </c>
      <c r="D129" s="96" t="s">
        <v>725</v>
      </c>
      <c r="E129" s="96" t="s">
        <v>783</v>
      </c>
      <c r="F129" s="96" t="s">
        <v>58</v>
      </c>
      <c r="G129" s="96" t="s">
        <v>58</v>
      </c>
      <c r="H129" s="96" t="s">
        <v>826</v>
      </c>
      <c r="I129" s="96" t="s">
        <v>52</v>
      </c>
      <c r="J129" s="373">
        <f>233723618.46</f>
        <v>233723618.46000001</v>
      </c>
      <c r="K129" s="105" t="s">
        <v>461</v>
      </c>
      <c r="L129" s="105" t="s">
        <v>461</v>
      </c>
      <c r="M129" s="105" t="s">
        <v>461</v>
      </c>
      <c r="N129" s="96"/>
      <c r="O129" s="96"/>
    </row>
    <row r="130" spans="2:15" x14ac:dyDescent="0.35">
      <c r="B130" s="96" t="e">
        <f>VLOOKUP(C130,[1]!Companies[#Data],3,FALSE)</f>
        <v>#REF!</v>
      </c>
      <c r="C130" s="96" t="s">
        <v>830</v>
      </c>
      <c r="D130" s="96" t="s">
        <v>725</v>
      </c>
      <c r="E130" s="96" t="s">
        <v>784</v>
      </c>
      <c r="F130" s="96" t="s">
        <v>58</v>
      </c>
      <c r="G130" s="96" t="s">
        <v>58</v>
      </c>
      <c r="H130" s="96" t="s">
        <v>826</v>
      </c>
      <c r="I130" s="96" t="s">
        <v>52</v>
      </c>
      <c r="J130" s="373">
        <f>132674200.89</f>
        <v>132674200.89</v>
      </c>
      <c r="K130" s="105" t="s">
        <v>461</v>
      </c>
      <c r="L130" s="105" t="s">
        <v>461</v>
      </c>
      <c r="M130" s="105" t="s">
        <v>461</v>
      </c>
      <c r="N130" s="96"/>
      <c r="O130" s="96"/>
    </row>
    <row r="131" spans="2:15" x14ac:dyDescent="0.35">
      <c r="B131" s="96" t="e">
        <f>VLOOKUP(C131,[1]!Companies[#Data],3,FALSE)</f>
        <v>#REF!</v>
      </c>
      <c r="C131" s="96" t="s">
        <v>830</v>
      </c>
      <c r="D131" s="96" t="s">
        <v>725</v>
      </c>
      <c r="E131" s="96" t="s">
        <v>807</v>
      </c>
      <c r="F131" s="96" t="s">
        <v>58</v>
      </c>
      <c r="G131" s="96" t="s">
        <v>58</v>
      </c>
      <c r="H131" s="96" t="s">
        <v>826</v>
      </c>
      <c r="I131" s="96" t="s">
        <v>52</v>
      </c>
      <c r="J131" s="373">
        <f>40437312.15</f>
        <v>40437312.149999999</v>
      </c>
      <c r="K131" s="105" t="s">
        <v>461</v>
      </c>
      <c r="L131" s="105" t="s">
        <v>461</v>
      </c>
      <c r="M131" s="105" t="s">
        <v>461</v>
      </c>
      <c r="N131" s="96"/>
      <c r="O131" s="96"/>
    </row>
    <row r="132" spans="2:15" x14ac:dyDescent="0.35">
      <c r="B132" s="96" t="e">
        <f>VLOOKUP(C132,[1]!Companies[#Data],3,FALSE)</f>
        <v>#REF!</v>
      </c>
      <c r="C132" s="96" t="s">
        <v>830</v>
      </c>
      <c r="D132" s="96" t="s">
        <v>725</v>
      </c>
      <c r="E132" s="96" t="s">
        <v>808</v>
      </c>
      <c r="F132" s="96" t="s">
        <v>58</v>
      </c>
      <c r="G132" s="96" t="s">
        <v>58</v>
      </c>
      <c r="H132" s="96" t="s">
        <v>826</v>
      </c>
      <c r="I132" s="96" t="s">
        <v>52</v>
      </c>
      <c r="J132" s="373">
        <f>62748737</f>
        <v>62748737</v>
      </c>
      <c r="K132" s="105" t="s">
        <v>461</v>
      </c>
      <c r="L132" s="105" t="s">
        <v>461</v>
      </c>
      <c r="M132" s="105" t="s">
        <v>461</v>
      </c>
      <c r="N132" s="96"/>
      <c r="O132" s="96"/>
    </row>
    <row r="133" spans="2:15" x14ac:dyDescent="0.35">
      <c r="B133" s="96" t="e">
        <f>VLOOKUP(C133,[1]!Companies[#Data],3,FALSE)</f>
        <v>#REF!</v>
      </c>
      <c r="C133" s="96" t="s">
        <v>830</v>
      </c>
      <c r="D133" s="96" t="s">
        <v>725</v>
      </c>
      <c r="E133" s="96" t="s">
        <v>789</v>
      </c>
      <c r="F133" s="96" t="s">
        <v>58</v>
      </c>
      <c r="G133" s="96" t="s">
        <v>58</v>
      </c>
      <c r="H133" s="96" t="s">
        <v>826</v>
      </c>
      <c r="I133" s="96" t="s">
        <v>52</v>
      </c>
      <c r="J133" s="373">
        <f>9240671.27</f>
        <v>9240671.2699999996</v>
      </c>
      <c r="K133" s="105" t="s">
        <v>461</v>
      </c>
      <c r="L133" s="105" t="s">
        <v>461</v>
      </c>
      <c r="M133" s="105" t="s">
        <v>461</v>
      </c>
      <c r="N133" s="96"/>
      <c r="O133" s="96"/>
    </row>
    <row r="134" spans="2:15" x14ac:dyDescent="0.35">
      <c r="B134" s="96" t="e">
        <f>VLOOKUP(C134,[1]!Companies[#Data],3,FALSE)</f>
        <v>#REF!</v>
      </c>
      <c r="C134" s="96" t="s">
        <v>830</v>
      </c>
      <c r="D134" s="96" t="s">
        <v>718</v>
      </c>
      <c r="E134" s="96" t="s">
        <v>827</v>
      </c>
      <c r="F134" s="96" t="s">
        <v>58</v>
      </c>
      <c r="G134" s="96" t="s">
        <v>58</v>
      </c>
      <c r="H134" s="96" t="s">
        <v>826</v>
      </c>
      <c r="I134" s="96" t="s">
        <v>52</v>
      </c>
      <c r="J134" s="373">
        <f>110859784.18</f>
        <v>110859784.18000001</v>
      </c>
      <c r="K134" s="105" t="s">
        <v>461</v>
      </c>
      <c r="L134" s="105" t="s">
        <v>461</v>
      </c>
      <c r="M134" s="105" t="s">
        <v>461</v>
      </c>
      <c r="N134" s="96"/>
      <c r="O134" s="96"/>
    </row>
    <row r="135" spans="2:15" x14ac:dyDescent="0.35">
      <c r="B135" s="96" t="e">
        <f>VLOOKUP(C135,[1]!Companies[#Data],3,FALSE)</f>
        <v>#REF!</v>
      </c>
      <c r="C135" s="96" t="s">
        <v>830</v>
      </c>
      <c r="D135" s="96" t="s">
        <v>718</v>
      </c>
      <c r="E135" s="96" t="s">
        <v>828</v>
      </c>
      <c r="F135" s="96" t="s">
        <v>58</v>
      </c>
      <c r="G135" s="96" t="s">
        <v>58</v>
      </c>
      <c r="H135" s="96" t="s">
        <v>826</v>
      </c>
      <c r="I135" s="96" t="s">
        <v>52</v>
      </c>
      <c r="J135" s="373">
        <f>132916196.28</f>
        <v>132916196.28</v>
      </c>
      <c r="K135" s="105" t="s">
        <v>461</v>
      </c>
      <c r="L135" s="105" t="s">
        <v>461</v>
      </c>
      <c r="M135" s="105" t="s">
        <v>461</v>
      </c>
      <c r="N135" s="96"/>
      <c r="O135" s="96"/>
    </row>
    <row r="136" spans="2:15" x14ac:dyDescent="0.35">
      <c r="B136" s="96" t="e">
        <f>VLOOKUP(C136,[1]!Companies[#Data],3,FALSE)</f>
        <v>#REF!</v>
      </c>
      <c r="C136" s="96" t="s">
        <v>830</v>
      </c>
      <c r="D136" s="96" t="s">
        <v>794</v>
      </c>
      <c r="E136" s="96" t="s">
        <v>829</v>
      </c>
      <c r="F136" s="96" t="s">
        <v>58</v>
      </c>
      <c r="G136" s="96" t="s">
        <v>58</v>
      </c>
      <c r="H136" s="96" t="s">
        <v>826</v>
      </c>
      <c r="I136" s="96" t="s">
        <v>52</v>
      </c>
      <c r="J136" s="373">
        <f>80949614.74</f>
        <v>80949614.739999995</v>
      </c>
      <c r="K136" s="105" t="s">
        <v>461</v>
      </c>
      <c r="L136" s="105" t="s">
        <v>461</v>
      </c>
      <c r="M136" s="105" t="s">
        <v>461</v>
      </c>
      <c r="N136" s="96"/>
      <c r="O136" s="96"/>
    </row>
    <row r="137" spans="2:15" x14ac:dyDescent="0.35">
      <c r="B137" s="96" t="e">
        <f>VLOOKUP(C137,[1]!Companies[#Data],3,FALSE)</f>
        <v>#REF!</v>
      </c>
      <c r="C137" s="96" t="s">
        <v>830</v>
      </c>
      <c r="D137" s="96" t="s">
        <v>796</v>
      </c>
      <c r="E137" s="96" t="s">
        <v>797</v>
      </c>
      <c r="F137" s="96" t="s">
        <v>58</v>
      </c>
      <c r="G137" s="96" t="s">
        <v>58</v>
      </c>
      <c r="H137" s="96" t="s">
        <v>826</v>
      </c>
      <c r="I137" s="96" t="s">
        <v>52</v>
      </c>
      <c r="J137" s="373">
        <f>1054053</f>
        <v>1054053</v>
      </c>
      <c r="K137" s="105" t="s">
        <v>461</v>
      </c>
      <c r="L137" s="105" t="s">
        <v>461</v>
      </c>
      <c r="M137" s="105" t="s">
        <v>461</v>
      </c>
      <c r="N137" s="96"/>
      <c r="O137" s="96"/>
    </row>
    <row r="138" spans="2:15" x14ac:dyDescent="0.35">
      <c r="B138" s="96" t="e">
        <f>VLOOKUP(C138,[1]!Companies[#Data],3,FALSE)</f>
        <v>#REF!</v>
      </c>
      <c r="C138" s="96" t="s">
        <v>594</v>
      </c>
      <c r="D138" s="96" t="s">
        <v>725</v>
      </c>
      <c r="E138" s="96" t="s">
        <v>783</v>
      </c>
      <c r="F138" s="96" t="s">
        <v>58</v>
      </c>
      <c r="G138" s="96" t="s">
        <v>58</v>
      </c>
      <c r="H138" s="96" t="s">
        <v>826</v>
      </c>
      <c r="I138" s="96" t="s">
        <v>52</v>
      </c>
      <c r="J138" s="373">
        <f>11654969.52</f>
        <v>11654969.52</v>
      </c>
      <c r="K138" s="105" t="s">
        <v>461</v>
      </c>
      <c r="L138" s="105" t="s">
        <v>461</v>
      </c>
      <c r="M138" s="105" t="s">
        <v>461</v>
      </c>
      <c r="N138" s="96"/>
      <c r="O138" s="96"/>
    </row>
    <row r="139" spans="2:15" x14ac:dyDescent="0.35">
      <c r="B139" s="96" t="e">
        <f>VLOOKUP(C139,[1]!Companies[#Data],3,FALSE)</f>
        <v>#REF!</v>
      </c>
      <c r="C139" s="96" t="s">
        <v>594</v>
      </c>
      <c r="D139" s="96" t="s">
        <v>796</v>
      </c>
      <c r="E139" s="96" t="s">
        <v>797</v>
      </c>
      <c r="F139" s="96" t="s">
        <v>58</v>
      </c>
      <c r="G139" s="96" t="s">
        <v>58</v>
      </c>
      <c r="H139" s="96" t="s">
        <v>826</v>
      </c>
      <c r="I139" s="96" t="s">
        <v>52</v>
      </c>
      <c r="J139" s="373">
        <f>543170</f>
        <v>543170</v>
      </c>
      <c r="K139" s="105" t="s">
        <v>461</v>
      </c>
      <c r="L139" s="105" t="s">
        <v>461</v>
      </c>
      <c r="M139" s="105" t="s">
        <v>461</v>
      </c>
      <c r="N139" s="96"/>
      <c r="O139" s="96"/>
    </row>
    <row r="140" spans="2:15" x14ac:dyDescent="0.35">
      <c r="B140" s="96" t="e">
        <f>VLOOKUP(C140,[1]!Companies[#Data],3,FALSE)</f>
        <v>#REF!</v>
      </c>
      <c r="C140" s="96" t="s">
        <v>603</v>
      </c>
      <c r="D140" s="96" t="s">
        <v>725</v>
      </c>
      <c r="E140" s="96" t="s">
        <v>783</v>
      </c>
      <c r="F140" s="96" t="s">
        <v>58</v>
      </c>
      <c r="G140" s="96" t="s">
        <v>58</v>
      </c>
      <c r="H140" s="96" t="s">
        <v>826</v>
      </c>
      <c r="I140" s="96" t="s">
        <v>52</v>
      </c>
      <c r="J140" s="373">
        <f>9829528.31</f>
        <v>9829528.3100000005</v>
      </c>
      <c r="K140" s="105" t="s">
        <v>461</v>
      </c>
      <c r="L140" s="105" t="s">
        <v>461</v>
      </c>
      <c r="M140" s="105" t="s">
        <v>461</v>
      </c>
      <c r="N140" s="96"/>
      <c r="O140" s="96"/>
    </row>
    <row r="141" spans="2:15" x14ac:dyDescent="0.35">
      <c r="B141" s="96" t="e">
        <f>VLOOKUP(C141,[1]!Companies[#Data],3,FALSE)</f>
        <v>#REF!</v>
      </c>
      <c r="C141" s="96" t="s">
        <v>606</v>
      </c>
      <c r="D141" s="96" t="s">
        <v>725</v>
      </c>
      <c r="E141" s="96" t="s">
        <v>808</v>
      </c>
      <c r="F141" s="96" t="s">
        <v>58</v>
      </c>
      <c r="G141" s="96" t="s">
        <v>58</v>
      </c>
      <c r="H141" s="96" t="s">
        <v>826</v>
      </c>
      <c r="I141" s="96" t="s">
        <v>52</v>
      </c>
      <c r="J141" s="373">
        <f>23617085.77</f>
        <v>23617085.77</v>
      </c>
      <c r="K141" s="105" t="s">
        <v>461</v>
      </c>
      <c r="L141" s="105" t="s">
        <v>461</v>
      </c>
      <c r="M141" s="105" t="s">
        <v>461</v>
      </c>
      <c r="N141" s="96"/>
      <c r="O141" s="96"/>
    </row>
    <row r="142" spans="2:15" x14ac:dyDescent="0.35">
      <c r="B142" s="96" t="e">
        <f>VLOOKUP(C142,[1]!Companies[#Data],3,FALSE)</f>
        <v>#REF!</v>
      </c>
      <c r="C142" s="96" t="s">
        <v>606</v>
      </c>
      <c r="D142" s="96" t="s">
        <v>796</v>
      </c>
      <c r="E142" s="96" t="s">
        <v>797</v>
      </c>
      <c r="F142" s="96" t="s">
        <v>58</v>
      </c>
      <c r="G142" s="96" t="s">
        <v>58</v>
      </c>
      <c r="H142" s="96" t="s">
        <v>826</v>
      </c>
      <c r="I142" s="96" t="s">
        <v>52</v>
      </c>
      <c r="J142" s="373">
        <f>38830</f>
        <v>38830</v>
      </c>
      <c r="K142" s="105" t="s">
        <v>461</v>
      </c>
      <c r="L142" s="105" t="s">
        <v>461</v>
      </c>
      <c r="M142" s="105" t="s">
        <v>461</v>
      </c>
      <c r="N142" s="96"/>
      <c r="O142" s="96"/>
    </row>
    <row r="143" spans="2:15" x14ac:dyDescent="0.35">
      <c r="B143" s="96" t="e">
        <f>VLOOKUP(C143,[1]!Companies[#Data],3,FALSE)</f>
        <v>#REF!</v>
      </c>
      <c r="C143" s="96" t="s">
        <v>831</v>
      </c>
      <c r="D143" s="96" t="s">
        <v>725</v>
      </c>
      <c r="E143" s="96" t="s">
        <v>808</v>
      </c>
      <c r="F143" s="96" t="s">
        <v>58</v>
      </c>
      <c r="G143" s="96" t="s">
        <v>58</v>
      </c>
      <c r="H143" s="96" t="s">
        <v>826</v>
      </c>
      <c r="I143" s="96" t="s">
        <v>52</v>
      </c>
      <c r="J143" s="373">
        <f>5178765</f>
        <v>5178765</v>
      </c>
      <c r="K143" s="105" t="s">
        <v>461</v>
      </c>
      <c r="L143" s="105" t="s">
        <v>461</v>
      </c>
      <c r="M143" s="105" t="s">
        <v>461</v>
      </c>
      <c r="N143" s="96"/>
      <c r="O143" s="96"/>
    </row>
    <row r="144" spans="2:15" x14ac:dyDescent="0.35">
      <c r="B144" s="96" t="e">
        <f>VLOOKUP(C144,[1]!Companies[#Data],3,FALSE)</f>
        <v>#REF!</v>
      </c>
      <c r="C144" s="96" t="s">
        <v>578</v>
      </c>
      <c r="D144" s="96" t="s">
        <v>725</v>
      </c>
      <c r="E144" s="96" t="s">
        <v>783</v>
      </c>
      <c r="F144" s="96" t="s">
        <v>58</v>
      </c>
      <c r="G144" s="96" t="s">
        <v>58</v>
      </c>
      <c r="H144" s="96" t="s">
        <v>826</v>
      </c>
      <c r="I144" s="96" t="s">
        <v>52</v>
      </c>
      <c r="J144" s="373">
        <f>7496854.73</f>
        <v>7496854.7300000004</v>
      </c>
      <c r="K144" s="105" t="s">
        <v>461</v>
      </c>
      <c r="L144" s="105" t="s">
        <v>461</v>
      </c>
      <c r="M144" s="105" t="s">
        <v>461</v>
      </c>
      <c r="N144" s="96"/>
      <c r="O144" s="96"/>
    </row>
    <row r="145" spans="2:15" x14ac:dyDescent="0.35">
      <c r="B145" s="96" t="e">
        <f>VLOOKUP(C145,[1]!Companies[#Data],3,FALSE)</f>
        <v>#REF!</v>
      </c>
      <c r="C145" s="96" t="s">
        <v>579</v>
      </c>
      <c r="D145" s="96" t="s">
        <v>725</v>
      </c>
      <c r="E145" s="96" t="s">
        <v>783</v>
      </c>
      <c r="F145" s="96" t="s">
        <v>58</v>
      </c>
      <c r="G145" s="96" t="s">
        <v>58</v>
      </c>
      <c r="H145" s="96" t="s">
        <v>826</v>
      </c>
      <c r="I145" s="96" t="s">
        <v>52</v>
      </c>
      <c r="J145" s="373">
        <f>56150165.23</f>
        <v>56150165.229999997</v>
      </c>
      <c r="K145" s="105" t="s">
        <v>461</v>
      </c>
      <c r="L145" s="105" t="s">
        <v>461</v>
      </c>
      <c r="M145" s="105" t="s">
        <v>461</v>
      </c>
      <c r="N145" s="96"/>
      <c r="O145" s="96"/>
    </row>
    <row r="146" spans="2:15" x14ac:dyDescent="0.35">
      <c r="B146" s="96" t="e">
        <f>VLOOKUP(C146,[1]!Companies[#Data],3,FALSE)</f>
        <v>#REF!</v>
      </c>
      <c r="C146" s="96" t="s">
        <v>579</v>
      </c>
      <c r="D146" s="96" t="s">
        <v>725</v>
      </c>
      <c r="E146" s="96" t="s">
        <v>784</v>
      </c>
      <c r="F146" s="96" t="s">
        <v>58</v>
      </c>
      <c r="G146" s="96" t="s">
        <v>58</v>
      </c>
      <c r="H146" s="96" t="s">
        <v>826</v>
      </c>
      <c r="I146" s="96" t="s">
        <v>52</v>
      </c>
      <c r="J146" s="373">
        <f>13549295.59</f>
        <v>13549295.59</v>
      </c>
      <c r="K146" s="105" t="s">
        <v>461</v>
      </c>
      <c r="L146" s="105" t="s">
        <v>461</v>
      </c>
      <c r="M146" s="105" t="s">
        <v>461</v>
      </c>
      <c r="N146" s="96"/>
      <c r="O146" s="96"/>
    </row>
    <row r="147" spans="2:15" x14ac:dyDescent="0.35">
      <c r="B147" s="96" t="e">
        <f>VLOOKUP(C147,[1]!Companies[#Data],3,FALSE)</f>
        <v>#REF!</v>
      </c>
      <c r="C147" s="96" t="s">
        <v>579</v>
      </c>
      <c r="D147" s="96" t="s">
        <v>725</v>
      </c>
      <c r="E147" s="96" t="s">
        <v>807</v>
      </c>
      <c r="F147" s="96" t="s">
        <v>58</v>
      </c>
      <c r="G147" s="96" t="s">
        <v>58</v>
      </c>
      <c r="H147" s="96" t="s">
        <v>826</v>
      </c>
      <c r="I147" s="96" t="s">
        <v>52</v>
      </c>
      <c r="J147" s="373">
        <f>651590.93</f>
        <v>651590.93000000005</v>
      </c>
      <c r="K147" s="105" t="s">
        <v>461</v>
      </c>
      <c r="L147" s="105" t="s">
        <v>461</v>
      </c>
      <c r="M147" s="105" t="s">
        <v>461</v>
      </c>
      <c r="N147" s="96"/>
      <c r="O147" s="96"/>
    </row>
    <row r="148" spans="2:15" x14ac:dyDescent="0.35">
      <c r="B148" s="96" t="e">
        <f>VLOOKUP(C148,[1]!Companies[#Data],3,FALSE)</f>
        <v>#REF!</v>
      </c>
      <c r="C148" s="96" t="s">
        <v>579</v>
      </c>
      <c r="D148" s="96" t="s">
        <v>725</v>
      </c>
      <c r="E148" s="96" t="s">
        <v>819</v>
      </c>
      <c r="F148" s="96" t="s">
        <v>58</v>
      </c>
      <c r="G148" s="96" t="s">
        <v>58</v>
      </c>
      <c r="H148" s="96" t="s">
        <v>826</v>
      </c>
      <c r="I148" s="96" t="s">
        <v>52</v>
      </c>
      <c r="J148" s="373">
        <f>112392079.37</f>
        <v>112392079.37</v>
      </c>
      <c r="K148" s="105" t="s">
        <v>461</v>
      </c>
      <c r="L148" s="105" t="s">
        <v>461</v>
      </c>
      <c r="M148" s="105" t="s">
        <v>461</v>
      </c>
      <c r="N148" s="96"/>
      <c r="O148" s="96"/>
    </row>
    <row r="149" spans="2:15" x14ac:dyDescent="0.35">
      <c r="B149" s="96" t="e">
        <f>VLOOKUP(C149,[1]!Companies[#Data],3,FALSE)</f>
        <v>#REF!</v>
      </c>
      <c r="C149" s="96" t="s">
        <v>579</v>
      </c>
      <c r="D149" s="96" t="s">
        <v>541</v>
      </c>
      <c r="E149" s="96" t="s">
        <v>801</v>
      </c>
      <c r="F149" s="96" t="s">
        <v>58</v>
      </c>
      <c r="G149" s="96" t="s">
        <v>58</v>
      </c>
      <c r="H149" s="96" t="s">
        <v>826</v>
      </c>
      <c r="I149" s="96" t="s">
        <v>52</v>
      </c>
      <c r="J149" s="373">
        <f>250000000</f>
        <v>250000000</v>
      </c>
      <c r="K149" s="105" t="s">
        <v>461</v>
      </c>
      <c r="L149" s="105" t="s">
        <v>461</v>
      </c>
      <c r="M149" s="105" t="s">
        <v>461</v>
      </c>
      <c r="N149" s="96"/>
      <c r="O149" s="96"/>
    </row>
    <row r="150" spans="2:15" x14ac:dyDescent="0.35">
      <c r="B150" s="96" t="e">
        <f>VLOOKUP(C150,[1]!Companies[#Data],3,FALSE)</f>
        <v>#REF!</v>
      </c>
      <c r="C150" s="96" t="s">
        <v>584</v>
      </c>
      <c r="D150" s="96" t="s">
        <v>725</v>
      </c>
      <c r="E150" s="96" t="s">
        <v>783</v>
      </c>
      <c r="F150" s="96" t="s">
        <v>58</v>
      </c>
      <c r="G150" s="96" t="s">
        <v>58</v>
      </c>
      <c r="H150" s="96" t="s">
        <v>826</v>
      </c>
      <c r="I150" s="96" t="s">
        <v>52</v>
      </c>
      <c r="J150" s="373">
        <f>3853005.1</f>
        <v>3853005.1</v>
      </c>
      <c r="K150" s="105" t="s">
        <v>461</v>
      </c>
      <c r="L150" s="105" t="s">
        <v>461</v>
      </c>
      <c r="M150" s="105" t="s">
        <v>461</v>
      </c>
      <c r="N150" s="96"/>
      <c r="O150" s="96"/>
    </row>
    <row r="151" spans="2:15" x14ac:dyDescent="0.35">
      <c r="B151" s="96" t="e">
        <f>VLOOKUP(C151,[1]!Companies[#Data],3,FALSE)</f>
        <v>#REF!</v>
      </c>
      <c r="C151" s="96" t="s">
        <v>585</v>
      </c>
      <c r="D151" s="96" t="s">
        <v>725</v>
      </c>
      <c r="E151" s="96" t="s">
        <v>783</v>
      </c>
      <c r="F151" s="96" t="s">
        <v>58</v>
      </c>
      <c r="G151" s="96" t="s">
        <v>58</v>
      </c>
      <c r="H151" s="96" t="s">
        <v>826</v>
      </c>
      <c r="I151" s="96" t="s">
        <v>52</v>
      </c>
      <c r="J151" s="373">
        <f>3715674.03</f>
        <v>3715674.03</v>
      </c>
      <c r="K151" s="105" t="s">
        <v>461</v>
      </c>
      <c r="L151" s="105" t="s">
        <v>461</v>
      </c>
      <c r="M151" s="105" t="s">
        <v>461</v>
      </c>
      <c r="N151" s="96"/>
      <c r="O151" s="96"/>
    </row>
    <row r="152" spans="2:15" x14ac:dyDescent="0.35">
      <c r="B152" s="96" t="e">
        <f>VLOOKUP(C152,[1]!Companies[#Data],3,FALSE)</f>
        <v>#REF!</v>
      </c>
      <c r="C152" s="96" t="s">
        <v>586</v>
      </c>
      <c r="D152" s="96" t="s">
        <v>725</v>
      </c>
      <c r="E152" s="96" t="s">
        <v>783</v>
      </c>
      <c r="F152" s="96" t="s">
        <v>58</v>
      </c>
      <c r="G152" s="96" t="s">
        <v>58</v>
      </c>
      <c r="H152" s="96" t="s">
        <v>826</v>
      </c>
      <c r="I152" s="96" t="s">
        <v>52</v>
      </c>
      <c r="J152" s="373">
        <f>629208.83</f>
        <v>629208.82999999996</v>
      </c>
      <c r="K152" s="105" t="s">
        <v>461</v>
      </c>
      <c r="L152" s="105" t="s">
        <v>461</v>
      </c>
      <c r="M152" s="105" t="s">
        <v>461</v>
      </c>
      <c r="N152" s="96"/>
      <c r="O152" s="96"/>
    </row>
    <row r="153" spans="2:15" x14ac:dyDescent="0.35">
      <c r="B153" s="96" t="e">
        <f>VLOOKUP(C153,[1]!Companies[#Data],3,FALSE)</f>
        <v>#REF!</v>
      </c>
      <c r="C153" s="96" t="s">
        <v>587</v>
      </c>
      <c r="D153" s="96" t="s">
        <v>725</v>
      </c>
      <c r="E153" s="96" t="s">
        <v>783</v>
      </c>
      <c r="F153" s="96" t="s">
        <v>58</v>
      </c>
      <c r="G153" s="96" t="s">
        <v>58</v>
      </c>
      <c r="H153" s="96" t="s">
        <v>826</v>
      </c>
      <c r="I153" s="96" t="s">
        <v>52</v>
      </c>
      <c r="J153" s="373">
        <f>267843.8</f>
        <v>267843.8</v>
      </c>
      <c r="K153" s="105" t="s">
        <v>461</v>
      </c>
      <c r="L153" s="105" t="s">
        <v>461</v>
      </c>
      <c r="M153" s="105" t="s">
        <v>461</v>
      </c>
      <c r="N153" s="96"/>
      <c r="O153" s="96"/>
    </row>
    <row r="154" spans="2:15" x14ac:dyDescent="0.35">
      <c r="B154" s="96" t="e">
        <f>VLOOKUP(C154,[1]!Companies[#Data],3,FALSE)</f>
        <v>#REF!</v>
      </c>
      <c r="C154" s="96" t="s">
        <v>588</v>
      </c>
      <c r="D154" s="96" t="s">
        <v>725</v>
      </c>
      <c r="E154" s="96" t="s">
        <v>783</v>
      </c>
      <c r="F154" s="96" t="s">
        <v>58</v>
      </c>
      <c r="G154" s="96" t="s">
        <v>58</v>
      </c>
      <c r="H154" s="96" t="s">
        <v>826</v>
      </c>
      <c r="I154" s="96" t="s">
        <v>52</v>
      </c>
      <c r="J154" s="373">
        <f>266692.7</f>
        <v>266692.7</v>
      </c>
      <c r="K154" s="105" t="s">
        <v>461</v>
      </c>
      <c r="L154" s="105" t="s">
        <v>461</v>
      </c>
      <c r="M154" s="105" t="s">
        <v>461</v>
      </c>
      <c r="N154" s="96"/>
      <c r="O154" s="96"/>
    </row>
    <row r="155" spans="2:15" x14ac:dyDescent="0.35">
      <c r="B155" s="96" t="e">
        <f>VLOOKUP(C155,[1]!Companies[#Data],3,FALSE)</f>
        <v>#REF!</v>
      </c>
      <c r="C155" s="96" t="s">
        <v>832</v>
      </c>
      <c r="D155" s="96" t="s">
        <v>725</v>
      </c>
      <c r="E155" s="96" t="s">
        <v>784</v>
      </c>
      <c r="F155" s="96" t="s">
        <v>58</v>
      </c>
      <c r="G155" s="96" t="s">
        <v>58</v>
      </c>
      <c r="H155" s="96" t="s">
        <v>833</v>
      </c>
      <c r="I155" s="96" t="s">
        <v>52</v>
      </c>
      <c r="J155" s="373">
        <f>6992512.13</f>
        <v>6992512.1299999999</v>
      </c>
      <c r="K155" s="105" t="s">
        <v>461</v>
      </c>
      <c r="L155" s="105" t="s">
        <v>461</v>
      </c>
      <c r="M155" s="105" t="s">
        <v>461</v>
      </c>
      <c r="N155" s="96"/>
      <c r="O155" s="96"/>
    </row>
    <row r="156" spans="2:15" x14ac:dyDescent="0.35">
      <c r="B156" s="96" t="e">
        <f>VLOOKUP(C156,[1]!Companies[#Data],3,FALSE)</f>
        <v>#REF!</v>
      </c>
      <c r="C156" s="96" t="s">
        <v>832</v>
      </c>
      <c r="D156" s="96" t="s">
        <v>725</v>
      </c>
      <c r="E156" s="96" t="s">
        <v>807</v>
      </c>
      <c r="F156" s="96" t="s">
        <v>58</v>
      </c>
      <c r="G156" s="96" t="s">
        <v>58</v>
      </c>
      <c r="H156" s="96" t="s">
        <v>833</v>
      </c>
      <c r="I156" s="96" t="s">
        <v>52</v>
      </c>
      <c r="J156" s="373">
        <f>1523588.16</f>
        <v>1523588.16</v>
      </c>
      <c r="K156" s="105" t="s">
        <v>461</v>
      </c>
      <c r="L156" s="105" t="s">
        <v>461</v>
      </c>
      <c r="M156" s="105" t="s">
        <v>461</v>
      </c>
      <c r="N156" s="96"/>
      <c r="O156" s="96"/>
    </row>
    <row r="157" spans="2:15" x14ac:dyDescent="0.35">
      <c r="B157" s="96" t="e">
        <f>VLOOKUP(C157,[1]!Companies[#Data],3,FALSE)</f>
        <v>#REF!</v>
      </c>
      <c r="C157" s="96" t="s">
        <v>832</v>
      </c>
      <c r="D157" s="96" t="s">
        <v>725</v>
      </c>
      <c r="E157" s="96" t="s">
        <v>809</v>
      </c>
      <c r="F157" s="96" t="s">
        <v>58</v>
      </c>
      <c r="G157" s="96" t="s">
        <v>58</v>
      </c>
      <c r="H157" s="96" t="s">
        <v>833</v>
      </c>
      <c r="I157" s="96" t="s">
        <v>52</v>
      </c>
      <c r="J157" s="373">
        <f>4537619.5</f>
        <v>4537619.5</v>
      </c>
      <c r="K157" s="105" t="s">
        <v>461</v>
      </c>
      <c r="L157" s="105" t="s">
        <v>461</v>
      </c>
      <c r="M157" s="105" t="s">
        <v>461</v>
      </c>
      <c r="N157" s="96"/>
      <c r="O157" s="96"/>
    </row>
    <row r="158" spans="2:15" x14ac:dyDescent="0.35">
      <c r="B158" s="96" t="e">
        <f>VLOOKUP(C158,[1]!Companies[#Data],3,FALSE)</f>
        <v>#REF!</v>
      </c>
      <c r="C158" s="96" t="s">
        <v>834</v>
      </c>
      <c r="D158" s="96" t="s">
        <v>725</v>
      </c>
      <c r="E158" s="96"/>
      <c r="F158" s="96" t="s">
        <v>58</v>
      </c>
      <c r="G158" s="96" t="s">
        <v>58</v>
      </c>
      <c r="H158" s="96" t="s">
        <v>835</v>
      </c>
      <c r="I158" s="96" t="s">
        <v>52</v>
      </c>
      <c r="J158" s="373">
        <f>60698.01</f>
        <v>60698.01</v>
      </c>
      <c r="K158" s="105" t="s">
        <v>461</v>
      </c>
      <c r="L158" s="105" t="s">
        <v>461</v>
      </c>
      <c r="M158" s="105" t="s">
        <v>461</v>
      </c>
      <c r="N158" s="96"/>
      <c r="O158" s="96"/>
    </row>
    <row r="159" spans="2:15" x14ac:dyDescent="0.35">
      <c r="B159" s="96" t="e">
        <f>VLOOKUP(C159,[1]!Companies[#Data],3,FALSE)</f>
        <v>#REF!</v>
      </c>
      <c r="C159" s="96" t="s">
        <v>834</v>
      </c>
      <c r="D159" s="96" t="s">
        <v>796</v>
      </c>
      <c r="E159" s="96"/>
      <c r="F159" s="96" t="s">
        <v>58</v>
      </c>
      <c r="G159" s="96" t="s">
        <v>58</v>
      </c>
      <c r="H159" s="96" t="s">
        <v>835</v>
      </c>
      <c r="I159" s="96" t="s">
        <v>52</v>
      </c>
      <c r="J159" s="373">
        <f>545170</f>
        <v>545170</v>
      </c>
      <c r="K159" s="105" t="s">
        <v>461</v>
      </c>
      <c r="L159" s="105" t="s">
        <v>461</v>
      </c>
      <c r="M159" s="105" t="s">
        <v>461</v>
      </c>
      <c r="N159" s="96"/>
      <c r="O159" s="96"/>
    </row>
    <row r="160" spans="2:15" x14ac:dyDescent="0.35">
      <c r="B160" s="96" t="e">
        <f>VLOOKUP(C160,[1]!Companies[#Data],3,FALSE)</f>
        <v>#REF!</v>
      </c>
      <c r="C160" s="96" t="s">
        <v>605</v>
      </c>
      <c r="D160" s="96" t="s">
        <v>725</v>
      </c>
      <c r="E160" s="96"/>
      <c r="F160" s="96" t="s">
        <v>58</v>
      </c>
      <c r="G160" s="96" t="s">
        <v>58</v>
      </c>
      <c r="H160" s="96" t="s">
        <v>835</v>
      </c>
      <c r="I160" s="96" t="s">
        <v>52</v>
      </c>
      <c r="J160" s="373">
        <f>858971.08</f>
        <v>858971.08</v>
      </c>
      <c r="K160" s="105" t="s">
        <v>461</v>
      </c>
      <c r="L160" s="105" t="s">
        <v>461</v>
      </c>
      <c r="M160" s="105" t="s">
        <v>461</v>
      </c>
      <c r="N160" s="96"/>
      <c r="O160" s="96"/>
    </row>
    <row r="161" spans="2:15" x14ac:dyDescent="0.35">
      <c r="B161" s="96" t="e">
        <f>VLOOKUP(C161,[1]!Companies[#Data],3,FALSE)</f>
        <v>#REF!</v>
      </c>
      <c r="C161" s="96" t="s">
        <v>605</v>
      </c>
      <c r="D161" s="96" t="s">
        <v>725</v>
      </c>
      <c r="E161" s="96"/>
      <c r="F161" s="96" t="s">
        <v>58</v>
      </c>
      <c r="G161" s="96" t="s">
        <v>58</v>
      </c>
      <c r="H161" s="96" t="s">
        <v>835</v>
      </c>
      <c r="I161" s="96" t="s">
        <v>52</v>
      </c>
      <c r="J161" s="373">
        <f>58.23</f>
        <v>58.23</v>
      </c>
      <c r="K161" s="105" t="s">
        <v>461</v>
      </c>
      <c r="L161" s="105" t="s">
        <v>461</v>
      </c>
      <c r="M161" s="105" t="s">
        <v>461</v>
      </c>
      <c r="N161" s="96"/>
      <c r="O161" s="96"/>
    </row>
    <row r="162" spans="2:15" x14ac:dyDescent="0.35">
      <c r="B162" s="96" t="e">
        <f>VLOOKUP(C162,[1]!Companies[#Data],3,FALSE)</f>
        <v>#REF!</v>
      </c>
      <c r="C162" s="96" t="s">
        <v>605</v>
      </c>
      <c r="D162" s="96" t="s">
        <v>725</v>
      </c>
      <c r="E162" s="96"/>
      <c r="F162" s="96" t="s">
        <v>58</v>
      </c>
      <c r="G162" s="96" t="s">
        <v>58</v>
      </c>
      <c r="H162" s="96" t="s">
        <v>835</v>
      </c>
      <c r="I162" s="96" t="s">
        <v>52</v>
      </c>
      <c r="J162" s="373">
        <f>2666.55</f>
        <v>2666.55</v>
      </c>
      <c r="K162" s="105" t="s">
        <v>461</v>
      </c>
      <c r="L162" s="105" t="s">
        <v>461</v>
      </c>
      <c r="M162" s="105" t="s">
        <v>461</v>
      </c>
      <c r="N162" s="96"/>
      <c r="O162" s="96"/>
    </row>
    <row r="163" spans="2:15" x14ac:dyDescent="0.35">
      <c r="B163" s="96" t="e">
        <f>VLOOKUP(C163,[1]!Companies[#Data],3,FALSE)</f>
        <v>#REF!</v>
      </c>
      <c r="C163" s="96" t="s">
        <v>647</v>
      </c>
      <c r="D163" s="96" t="s">
        <v>725</v>
      </c>
      <c r="E163" s="96"/>
      <c r="F163" s="96" t="s">
        <v>58</v>
      </c>
      <c r="G163" s="96" t="s">
        <v>58</v>
      </c>
      <c r="H163" s="96" t="s">
        <v>836</v>
      </c>
      <c r="I163" s="96" t="s">
        <v>52</v>
      </c>
      <c r="J163" s="373">
        <f>1790532.41</f>
        <v>1790532.41</v>
      </c>
      <c r="K163" s="105" t="s">
        <v>461</v>
      </c>
      <c r="L163" s="105" t="s">
        <v>461</v>
      </c>
      <c r="M163" s="105" t="s">
        <v>461</v>
      </c>
      <c r="N163" s="96"/>
      <c r="O163" s="96"/>
    </row>
    <row r="164" spans="2:15" x14ac:dyDescent="0.35">
      <c r="B164" s="96" t="e">
        <f>VLOOKUP(C164,[1]!Companies[#Data],3,FALSE)</f>
        <v>#REF!</v>
      </c>
      <c r="C164" s="96" t="s">
        <v>583</v>
      </c>
      <c r="D164" s="96" t="s">
        <v>725</v>
      </c>
      <c r="E164" s="96"/>
      <c r="F164" s="96" t="s">
        <v>58</v>
      </c>
      <c r="G164" s="96" t="s">
        <v>58</v>
      </c>
      <c r="H164" s="96" t="s">
        <v>553</v>
      </c>
      <c r="I164" s="96" t="s">
        <v>52</v>
      </c>
      <c r="J164" s="373">
        <f>166196.7</f>
        <v>166196.70000000001</v>
      </c>
      <c r="K164" s="105" t="s">
        <v>461</v>
      </c>
      <c r="L164" s="105" t="s">
        <v>461</v>
      </c>
      <c r="M164" s="105" t="s">
        <v>461</v>
      </c>
      <c r="N164" s="96"/>
      <c r="O164" s="96"/>
    </row>
    <row r="165" spans="2:15" x14ac:dyDescent="0.35">
      <c r="B165" s="96" t="e">
        <f>VLOOKUP(C165,[1]!Companies[#Data],3,FALSE)</f>
        <v>#REF!</v>
      </c>
      <c r="C165" s="96" t="s">
        <v>830</v>
      </c>
      <c r="D165" s="96"/>
      <c r="E165" s="96"/>
      <c r="F165" s="96" t="s">
        <v>58</v>
      </c>
      <c r="G165" s="96" t="s">
        <v>58</v>
      </c>
      <c r="H165" s="96" t="s">
        <v>826</v>
      </c>
      <c r="I165" s="96" t="s">
        <v>52</v>
      </c>
      <c r="J165" s="373">
        <f>1379113286</f>
        <v>1379113286</v>
      </c>
      <c r="K165" s="105" t="s">
        <v>461</v>
      </c>
      <c r="L165" s="105" t="s">
        <v>461</v>
      </c>
      <c r="M165" s="105" t="s">
        <v>461</v>
      </c>
      <c r="N165" s="96"/>
      <c r="O165" s="96"/>
    </row>
    <row r="166" spans="2:15" x14ac:dyDescent="0.35">
      <c r="B166" s="96" t="e">
        <f>VLOOKUP(C166,[1]!Companies[#Data],3,FALSE)</f>
        <v>#REF!</v>
      </c>
      <c r="C166" s="96" t="s">
        <v>837</v>
      </c>
      <c r="D166" s="96"/>
      <c r="E166" s="96"/>
      <c r="F166" s="96" t="s">
        <v>58</v>
      </c>
      <c r="G166" s="96" t="s">
        <v>58</v>
      </c>
      <c r="H166" s="96"/>
      <c r="I166" s="96" t="s">
        <v>52</v>
      </c>
      <c r="J166" s="373">
        <f>14855</f>
        <v>14855</v>
      </c>
      <c r="K166" s="105" t="s">
        <v>461</v>
      </c>
      <c r="L166" s="105" t="s">
        <v>461</v>
      </c>
      <c r="M166" s="105" t="s">
        <v>461</v>
      </c>
      <c r="N166" s="96"/>
      <c r="O166" s="96"/>
    </row>
    <row r="167" spans="2:15" x14ac:dyDescent="0.35">
      <c r="B167" s="96" t="e">
        <f>VLOOKUP(C167,[1]!Companies[#Data],3,FALSE)</f>
        <v>#REF!</v>
      </c>
      <c r="C167" s="96" t="s">
        <v>838</v>
      </c>
      <c r="D167" s="96"/>
      <c r="E167" s="96"/>
      <c r="F167" s="96" t="s">
        <v>58</v>
      </c>
      <c r="G167" s="96" t="s">
        <v>58</v>
      </c>
      <c r="H167" s="96"/>
      <c r="I167" s="96" t="s">
        <v>52</v>
      </c>
      <c r="J167" s="373">
        <f>707</f>
        <v>707</v>
      </c>
      <c r="K167" s="105" t="s">
        <v>461</v>
      </c>
      <c r="L167" s="105" t="s">
        <v>461</v>
      </c>
      <c r="M167" s="105" t="s">
        <v>461</v>
      </c>
      <c r="N167" s="96"/>
      <c r="O167" s="96"/>
    </row>
    <row r="168" spans="2:15" x14ac:dyDescent="0.35">
      <c r="B168" s="96" t="e">
        <f>VLOOKUP(C168,[1]!Companies[#Data],3,FALSE)</f>
        <v>#REF!</v>
      </c>
      <c r="C168" s="96" t="s">
        <v>839</v>
      </c>
      <c r="D168" s="96"/>
      <c r="E168" s="96"/>
      <c r="F168" s="96" t="s">
        <v>82</v>
      </c>
      <c r="G168" s="96" t="s">
        <v>82</v>
      </c>
      <c r="H168" s="96"/>
      <c r="I168" s="96" t="s">
        <v>52</v>
      </c>
      <c r="J168" s="373">
        <f>5907097</f>
        <v>5907097</v>
      </c>
      <c r="K168" s="105" t="s">
        <v>461</v>
      </c>
      <c r="L168" s="105" t="s">
        <v>461</v>
      </c>
      <c r="M168" s="105" t="s">
        <v>461</v>
      </c>
      <c r="N168" s="96"/>
      <c r="O168" s="96"/>
    </row>
    <row r="169" spans="2:15" x14ac:dyDescent="0.35">
      <c r="B169" s="96" t="e">
        <f>VLOOKUP(C169,[1]!Companies[#Data],3,FALSE)</f>
        <v>#REF!</v>
      </c>
      <c r="C169" s="96" t="s">
        <v>839</v>
      </c>
      <c r="D169" s="96"/>
      <c r="E169" s="96"/>
      <c r="F169" s="96" t="s">
        <v>82</v>
      </c>
      <c r="G169" s="96" t="s">
        <v>82</v>
      </c>
      <c r="H169" s="96"/>
      <c r="I169" s="96" t="s">
        <v>52</v>
      </c>
      <c r="J169" s="373">
        <f>4746054</f>
        <v>4746054</v>
      </c>
      <c r="K169" s="105" t="s">
        <v>461</v>
      </c>
      <c r="L169" s="105" t="s">
        <v>461</v>
      </c>
      <c r="M169" s="105" t="s">
        <v>461</v>
      </c>
      <c r="N169" s="96"/>
      <c r="O169" s="96" t="s">
        <v>803</v>
      </c>
    </row>
    <row r="170" spans="2:15" ht="15.6" thickBot="1" x14ac:dyDescent="0.4">
      <c r="B170" s="96"/>
      <c r="C170" s="96"/>
      <c r="D170" s="96"/>
      <c r="E170" s="96"/>
      <c r="F170" s="96"/>
      <c r="G170" s="99"/>
      <c r="H170" s="96"/>
      <c r="I170" s="96"/>
      <c r="J170" s="96"/>
      <c r="K170" s="96"/>
      <c r="L170" s="96"/>
      <c r="M170" s="96"/>
      <c r="N170" s="96"/>
      <c r="O170" s="96"/>
    </row>
    <row r="171" spans="2:15" ht="15.6" thickBot="1" x14ac:dyDescent="0.4">
      <c r="B171" s="96"/>
      <c r="C171" s="96"/>
      <c r="D171" s="96"/>
      <c r="E171" s="96"/>
      <c r="F171" s="96"/>
      <c r="G171" s="99"/>
      <c r="H171" s="124" t="s">
        <v>751</v>
      </c>
      <c r="I171" s="121"/>
      <c r="J171" s="107">
        <f>SUMIF(Table10[Reporting currency],"USD",Table10[Revenue value])+(IFERROR(SUMIF(Table10[Reporting currency],"&lt;&gt;USD",Table10[Revenue value])/'[1]Part 1 - About'!$E$45,0))</f>
        <v>0</v>
      </c>
      <c r="K171" s="96"/>
      <c r="L171" s="96"/>
      <c r="M171" s="96"/>
      <c r="N171" s="96"/>
      <c r="O171" s="96"/>
    </row>
    <row r="172" spans="2:15" ht="15.6" thickBot="1" x14ac:dyDescent="0.4">
      <c r="B172" s="96"/>
      <c r="C172" s="96"/>
      <c r="D172" s="96"/>
      <c r="E172" s="96"/>
      <c r="F172" s="96"/>
      <c r="G172" s="99"/>
      <c r="H172" s="123"/>
      <c r="I172" s="123"/>
      <c r="J172" s="122"/>
      <c r="K172" s="96"/>
      <c r="L172" s="96"/>
      <c r="M172" s="96"/>
      <c r="N172" s="96"/>
      <c r="O172" s="96"/>
    </row>
    <row r="173" spans="2:15" ht="16.8" thickBot="1" x14ac:dyDescent="0.4">
      <c r="B173" s="96"/>
      <c r="C173" s="96"/>
      <c r="D173" s="96"/>
      <c r="E173" s="96"/>
      <c r="F173" s="96"/>
      <c r="G173" s="99"/>
      <c r="H173" s="106" t="s">
        <v>750</v>
      </c>
      <c r="I173" s="121"/>
      <c r="J173" s="107">
        <f>SUM(Table10[Revenue value])</f>
        <v>4364837348.289999</v>
      </c>
      <c r="K173" s="96"/>
      <c r="L173" s="96"/>
      <c r="M173" s="96"/>
      <c r="N173" s="96"/>
      <c r="O173" s="96"/>
    </row>
    <row r="174" spans="2:15" x14ac:dyDescent="0.35">
      <c r="B174" s="96"/>
      <c r="C174" s="96"/>
      <c r="D174" s="96"/>
      <c r="E174" s="96"/>
      <c r="F174" s="96"/>
      <c r="G174" s="96"/>
      <c r="H174" s="96"/>
      <c r="I174" s="96"/>
      <c r="J174" s="96"/>
      <c r="K174" s="96"/>
      <c r="L174" s="96"/>
      <c r="M174" s="96"/>
      <c r="N174" s="96"/>
      <c r="O174" s="96"/>
    </row>
    <row r="175" spans="2:15" ht="21.6" x14ac:dyDescent="0.35">
      <c r="C175" s="572" t="s">
        <v>752</v>
      </c>
      <c r="D175" s="572"/>
      <c r="E175" s="572"/>
      <c r="F175" s="572"/>
      <c r="G175" s="572"/>
      <c r="H175" s="572"/>
      <c r="I175" s="572"/>
      <c r="J175" s="572"/>
      <c r="K175" s="572"/>
      <c r="L175" s="572"/>
      <c r="M175" s="572"/>
      <c r="N175" s="572"/>
      <c r="O175" s="216"/>
    </row>
    <row r="176" spans="2:15" x14ac:dyDescent="0.35">
      <c r="B176" s="96"/>
      <c r="C176" s="567" t="s">
        <v>753</v>
      </c>
      <c r="D176" s="567"/>
      <c r="E176" s="567"/>
      <c r="F176" s="567"/>
      <c r="G176" s="567"/>
      <c r="H176" s="567"/>
      <c r="I176" s="567"/>
      <c r="J176" s="567"/>
      <c r="K176" s="567"/>
      <c r="L176" s="567"/>
      <c r="M176" s="567"/>
      <c r="N176" s="567"/>
      <c r="O176" s="213"/>
    </row>
    <row r="177" spans="2:15" x14ac:dyDescent="0.35">
      <c r="B177" s="96"/>
      <c r="C177" s="567"/>
      <c r="D177" s="567"/>
      <c r="E177" s="567"/>
      <c r="F177" s="567"/>
      <c r="G177" s="567"/>
      <c r="H177" s="567"/>
      <c r="I177" s="567"/>
      <c r="J177" s="567"/>
      <c r="K177" s="567"/>
      <c r="L177" s="567"/>
      <c r="M177" s="567"/>
      <c r="N177" s="567"/>
      <c r="O177" s="213"/>
    </row>
    <row r="178" spans="2:15" x14ac:dyDescent="0.35">
      <c r="B178" s="96"/>
      <c r="C178" s="567" t="s">
        <v>754</v>
      </c>
      <c r="D178" s="567"/>
      <c r="E178" s="567"/>
      <c r="F178" s="567"/>
      <c r="G178" s="567"/>
      <c r="H178" s="567"/>
      <c r="I178" s="567"/>
      <c r="J178" s="567"/>
      <c r="K178" s="567"/>
      <c r="L178" s="567"/>
      <c r="M178" s="567"/>
      <c r="N178" s="567"/>
      <c r="O178" s="213"/>
    </row>
    <row r="179" spans="2:15" x14ac:dyDescent="0.35">
      <c r="B179" s="96"/>
      <c r="C179" s="567" t="s">
        <v>756</v>
      </c>
      <c r="D179" s="567"/>
      <c r="E179" s="567"/>
      <c r="F179" s="567"/>
      <c r="G179" s="567"/>
      <c r="H179" s="567"/>
      <c r="I179" s="567"/>
      <c r="J179" s="567"/>
      <c r="K179" s="567"/>
      <c r="L179" s="567"/>
      <c r="M179" s="567"/>
      <c r="N179" s="567"/>
      <c r="O179" s="213"/>
    </row>
    <row r="180" spans="2:15" x14ac:dyDescent="0.35">
      <c r="B180" s="96"/>
      <c r="C180" s="567" t="s">
        <v>760</v>
      </c>
      <c r="D180" s="567"/>
      <c r="E180" s="567"/>
      <c r="F180" s="567"/>
      <c r="G180" s="567"/>
      <c r="H180" s="567"/>
      <c r="I180" s="567"/>
      <c r="J180" s="567"/>
      <c r="K180" s="567"/>
      <c r="L180" s="567"/>
      <c r="M180" s="567"/>
      <c r="N180" s="567"/>
      <c r="O180" s="213"/>
    </row>
    <row r="181" spans="2:15" x14ac:dyDescent="0.35">
      <c r="B181" s="96"/>
      <c r="C181" s="567" t="s">
        <v>762</v>
      </c>
      <c r="D181" s="567"/>
      <c r="E181" s="567"/>
      <c r="F181" s="567"/>
      <c r="G181" s="567"/>
      <c r="H181" s="567"/>
      <c r="I181" s="567"/>
      <c r="J181" s="567"/>
      <c r="K181" s="567"/>
      <c r="L181" s="567"/>
      <c r="M181" s="567"/>
      <c r="N181" s="567"/>
      <c r="O181" s="213"/>
    </row>
    <row r="182" spans="2:15" x14ac:dyDescent="0.35">
      <c r="B182" s="96"/>
      <c r="C182" s="567" t="s">
        <v>763</v>
      </c>
      <c r="D182" s="567"/>
      <c r="E182" s="567"/>
      <c r="F182" s="567"/>
      <c r="G182" s="567"/>
      <c r="H182" s="567"/>
      <c r="I182" s="567"/>
      <c r="J182" s="567"/>
      <c r="K182" s="567"/>
      <c r="L182" s="567"/>
      <c r="M182" s="567"/>
      <c r="N182" s="567"/>
      <c r="O182" s="213"/>
    </row>
    <row r="183" spans="2:15" x14ac:dyDescent="0.35">
      <c r="B183" s="96"/>
      <c r="C183" s="567"/>
      <c r="D183" s="567"/>
      <c r="E183" s="567"/>
      <c r="F183" s="567"/>
      <c r="G183" s="567"/>
      <c r="H183" s="567"/>
      <c r="I183" s="567"/>
      <c r="J183" s="567"/>
      <c r="K183" s="567"/>
      <c r="L183" s="567"/>
      <c r="M183" s="567"/>
      <c r="N183" s="567"/>
      <c r="O183" s="213"/>
    </row>
    <row r="184" spans="2:15" ht="15.6" thickBot="1" x14ac:dyDescent="0.4">
      <c r="B184" s="96"/>
      <c r="C184" s="566"/>
      <c r="D184" s="566"/>
      <c r="E184" s="566"/>
      <c r="F184" s="566"/>
      <c r="G184" s="566"/>
      <c r="H184" s="566"/>
      <c r="I184" s="566"/>
      <c r="J184" s="566"/>
      <c r="K184" s="566"/>
      <c r="L184" s="566"/>
      <c r="M184" s="566"/>
      <c r="N184" s="566"/>
      <c r="O184" s="209"/>
    </row>
    <row r="185" spans="2:15" x14ac:dyDescent="0.35">
      <c r="B185" s="96"/>
      <c r="C185" s="564"/>
      <c r="D185" s="564"/>
      <c r="E185" s="564"/>
      <c r="F185" s="564"/>
      <c r="G185" s="564"/>
      <c r="H185" s="564"/>
      <c r="I185" s="564"/>
      <c r="J185" s="564"/>
      <c r="K185" s="564"/>
      <c r="L185" s="564"/>
      <c r="M185" s="564"/>
      <c r="N185" s="564"/>
      <c r="O185" s="209"/>
    </row>
    <row r="186" spans="2:15" ht="15.6" thickBot="1" x14ac:dyDescent="0.4">
      <c r="B186" s="96"/>
      <c r="C186" s="537"/>
      <c r="D186" s="538"/>
      <c r="E186" s="538"/>
      <c r="F186" s="538"/>
      <c r="G186" s="538"/>
      <c r="H186" s="538"/>
      <c r="I186" s="538"/>
      <c r="J186" s="538"/>
      <c r="K186" s="538"/>
      <c r="L186" s="538"/>
      <c r="M186" s="538"/>
      <c r="N186" s="538"/>
      <c r="O186" s="207"/>
    </row>
    <row r="187" spans="2:15" x14ac:dyDescent="0.35">
      <c r="B187" s="96"/>
      <c r="C187" s="539"/>
      <c r="D187" s="540"/>
      <c r="E187" s="540"/>
      <c r="F187" s="540"/>
      <c r="G187" s="540"/>
      <c r="H187" s="540"/>
      <c r="I187" s="540"/>
      <c r="J187" s="540"/>
      <c r="K187" s="540"/>
      <c r="L187" s="540"/>
      <c r="M187" s="540"/>
      <c r="N187" s="540"/>
      <c r="O187" s="207"/>
    </row>
    <row r="188" spans="2:15" ht="15.6" thickBot="1" x14ac:dyDescent="0.4">
      <c r="B188" s="96"/>
      <c r="C188" s="565"/>
      <c r="D188" s="565"/>
      <c r="E188" s="565"/>
      <c r="F188" s="565"/>
      <c r="G188" s="565"/>
      <c r="H188" s="565"/>
      <c r="I188" s="565"/>
      <c r="J188" s="565"/>
      <c r="K188" s="565"/>
      <c r="L188" s="565"/>
      <c r="M188" s="565"/>
      <c r="N188" s="565"/>
      <c r="O188" s="209"/>
    </row>
    <row r="189" spans="2:15" x14ac:dyDescent="0.35">
      <c r="B189" s="96"/>
      <c r="C189" s="533" t="s">
        <v>29</v>
      </c>
      <c r="D189" s="533"/>
      <c r="E189" s="533"/>
      <c r="F189" s="533"/>
      <c r="G189" s="533"/>
      <c r="H189" s="533"/>
      <c r="I189" s="533"/>
      <c r="J189" s="533"/>
      <c r="K189" s="533"/>
      <c r="L189" s="533"/>
      <c r="M189" s="533"/>
      <c r="N189" s="533"/>
      <c r="O189" s="203"/>
    </row>
    <row r="190" spans="2:15" x14ac:dyDescent="0.35">
      <c r="B190" s="96"/>
      <c r="C190" s="468" t="s">
        <v>30</v>
      </c>
      <c r="D190" s="468"/>
      <c r="E190" s="468"/>
      <c r="F190" s="468"/>
      <c r="G190" s="468"/>
      <c r="H190" s="468"/>
      <c r="I190" s="468"/>
      <c r="J190" s="468"/>
      <c r="K190" s="468"/>
      <c r="L190" s="468"/>
      <c r="M190" s="468"/>
      <c r="N190" s="468"/>
      <c r="O190" s="201"/>
    </row>
    <row r="191" spans="2:15" x14ac:dyDescent="0.35">
      <c r="B191" s="96"/>
      <c r="C191" s="533" t="s">
        <v>684</v>
      </c>
      <c r="D191" s="533"/>
      <c r="E191" s="533"/>
      <c r="F191" s="533"/>
      <c r="G191" s="533"/>
      <c r="H191" s="533"/>
      <c r="I191" s="533"/>
      <c r="J191" s="533"/>
      <c r="K191" s="533"/>
      <c r="L191" s="533"/>
      <c r="M191" s="533"/>
      <c r="N191" s="533"/>
      <c r="O191" s="203"/>
    </row>
    <row r="194" spans="10:11" x14ac:dyDescent="0.35">
      <c r="J194" s="120"/>
    </row>
    <row r="195" spans="10:11" x14ac:dyDescent="0.35">
      <c r="J195" s="120"/>
      <c r="K195" s="119"/>
    </row>
    <row r="197" spans="10:11" x14ac:dyDescent="0.35">
      <c r="K197" s="119"/>
    </row>
  </sheetData>
  <protectedRanges>
    <protectedRange algorithmName="SHA-512" hashValue="19r0bVvPR7yZA0UiYij7Tv1CBk3noIABvFePbLhCJ4nk3L6A+Fy+RdPPS3STf+a52x4pG2PQK4FAkXK9epnlIA==" saltValue="gQC4yrLvnbJqxYZ0KSEoZA==" spinCount="100000" sqref="C170:D173 F170:H172 F173:G173 B44 D44 B45:D169" name="Government revenues_1"/>
    <protectedRange algorithmName="SHA-512" hashValue="19r0bVvPR7yZA0UiYij7Tv1CBk3noIABvFePbLhCJ4nk3L6A+Fy+RdPPS3STf+a52x4pG2PQK4FAkXK9epnlIA==" saltValue="gQC4yrLvnbJqxYZ0KSEoZA==" spinCount="100000" sqref="I171:I173" name="Government revenues_2"/>
  </protectedRanges>
  <mergeCells count="28">
    <mergeCell ref="C7:N7"/>
    <mergeCell ref="C8:N8"/>
    <mergeCell ref="C9:N9"/>
    <mergeCell ref="C182:N182"/>
    <mergeCell ref="C183:N183"/>
    <mergeCell ref="C10:N10"/>
    <mergeCell ref="C11:N11"/>
    <mergeCell ref="C175:N175"/>
    <mergeCell ref="C176:N176"/>
    <mergeCell ref="C177:N177"/>
    <mergeCell ref="C2:N2"/>
    <mergeCell ref="C3:N3"/>
    <mergeCell ref="C4:N4"/>
    <mergeCell ref="C5:N5"/>
    <mergeCell ref="C6:N6"/>
    <mergeCell ref="C191:N191"/>
    <mergeCell ref="B13:N13"/>
    <mergeCell ref="C185:N185"/>
    <mergeCell ref="C186:N186"/>
    <mergeCell ref="C187:N187"/>
    <mergeCell ref="C188:N188"/>
    <mergeCell ref="C189:N189"/>
    <mergeCell ref="C190:N190"/>
    <mergeCell ref="C184:N184"/>
    <mergeCell ref="C178:N178"/>
    <mergeCell ref="C179:N179"/>
    <mergeCell ref="C180:N180"/>
    <mergeCell ref="C181:N181"/>
  </mergeCells>
  <hyperlinks>
    <hyperlink ref="B13" r:id="rId1" location="r4-1" display="EITI Requirement 4.1" xr:uid="{C2EB4DE3-FE2A-4B0E-A9A2-A17B452456B1}"/>
  </hyperlinks>
  <pageMargins left="0.7" right="0.7" top="0.75" bottom="0.75" header="0.3" footer="0.3"/>
  <pageSetup paperSize="9" orientation="portrait" r:id="rId2"/>
  <tableParts count="1">
    <tablePart r:id="rId3"/>
  </tableParts>
</worksheet>
</file>

<file path=xl/worksheets/sheet16.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787C6-D399-4549-ABCE-9E456122CB43}">
  <sheetPr codeName="Sheet16"/>
  <dimension ref="A1:S29"/>
  <sheetViews>
    <sheetView topLeftCell="C8" zoomScale="60" zoomScaleNormal="60" workbookViewId="0">
      <selection activeCell="P1" sqref="P1:P1048576"/>
    </sheetView>
  </sheetViews>
  <sheetFormatPr defaultColWidth="10.5" defaultRowHeight="16.2" x14ac:dyDescent="0.35"/>
  <cols>
    <col min="1" max="1" width="14.8984375" style="166" customWidth="1"/>
    <col min="2" max="2" width="50.5" style="166" customWidth="1"/>
    <col min="3" max="3" width="2.5" style="166" customWidth="1"/>
    <col min="4" max="4" width="24" style="166" customWidth="1"/>
    <col min="5" max="5" width="2.5" style="166" customWidth="1"/>
    <col min="6" max="6" width="24" style="166" customWidth="1"/>
    <col min="7" max="7" width="2.5" style="166" customWidth="1"/>
    <col min="8" max="8" width="24" style="166" customWidth="1"/>
    <col min="9" max="9" width="2.5" style="166" customWidth="1"/>
    <col min="10" max="10" width="39.5" style="166" customWidth="1"/>
    <col min="11" max="11" width="2.5" style="166" customWidth="1"/>
    <col min="12" max="12" width="39.5" style="166" customWidth="1"/>
    <col min="13" max="13" width="3" style="166" customWidth="1"/>
    <col min="14" max="14" width="39.5" style="166" customWidth="1"/>
    <col min="15" max="15" width="3" style="166" customWidth="1"/>
    <col min="16" max="16" width="39.5" style="462" customWidth="1"/>
    <col min="17" max="17" width="3" style="166" customWidth="1"/>
    <col min="18" max="18" width="39.5" style="166" customWidth="1"/>
    <col min="19" max="19" width="3" style="166" customWidth="1"/>
    <col min="20" max="16384" width="10.5" style="166"/>
  </cols>
  <sheetData>
    <row r="1" spans="1:19" ht="24.6" x14ac:dyDescent="0.4">
      <c r="A1" s="165" t="s">
        <v>840</v>
      </c>
    </row>
    <row r="3" spans="1:19" s="40" customFormat="1" ht="90" x14ac:dyDescent="0.3">
      <c r="A3" s="206" t="s">
        <v>841</v>
      </c>
      <c r="B3" s="57" t="s">
        <v>842</v>
      </c>
      <c r="D3" s="10" t="s">
        <v>438</v>
      </c>
      <c r="F3" s="58"/>
      <c r="H3" s="58"/>
      <c r="J3" s="49"/>
      <c r="L3" s="39"/>
      <c r="N3" s="39"/>
      <c r="P3" s="404"/>
      <c r="R3" s="39"/>
    </row>
    <row r="4" spans="1:19" s="38" customFormat="1" ht="18.600000000000001" x14ac:dyDescent="0.3">
      <c r="A4" s="56"/>
      <c r="B4" s="47"/>
      <c r="D4" s="47"/>
      <c r="F4" s="47"/>
      <c r="H4" s="47"/>
      <c r="J4" s="48"/>
      <c r="L4" s="48"/>
      <c r="P4" s="463"/>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64"/>
      <c r="R6" s="48"/>
    </row>
    <row r="7" spans="1:19" s="40" customFormat="1" ht="220.8" x14ac:dyDescent="0.3">
      <c r="A7" s="206" t="s">
        <v>164</v>
      </c>
      <c r="B7" s="57" t="s">
        <v>843</v>
      </c>
      <c r="D7" s="10" t="s">
        <v>82</v>
      </c>
      <c r="F7" s="58"/>
      <c r="H7" s="58"/>
      <c r="J7" s="49"/>
      <c r="K7" s="38"/>
      <c r="L7" s="399" t="s">
        <v>844</v>
      </c>
      <c r="M7" s="38"/>
      <c r="N7" s="431" t="s">
        <v>845</v>
      </c>
      <c r="O7" s="38"/>
      <c r="P7" s="404" t="s">
        <v>1247</v>
      </c>
      <c r="R7" s="39"/>
    </row>
    <row r="8" spans="1:19" s="38" customFormat="1" ht="18.600000000000001" x14ac:dyDescent="0.3">
      <c r="A8" s="56"/>
      <c r="B8" s="47"/>
      <c r="D8" s="47"/>
      <c r="F8" s="47"/>
      <c r="H8" s="47"/>
      <c r="J8" s="48"/>
      <c r="L8" s="48"/>
      <c r="N8" s="48"/>
      <c r="P8" s="464"/>
      <c r="R8" s="48"/>
    </row>
    <row r="9" spans="1:19" s="38" customFormat="1" ht="45" x14ac:dyDescent="0.3">
      <c r="A9" s="56"/>
      <c r="B9" s="54" t="s">
        <v>846</v>
      </c>
      <c r="D9" s="10" t="s">
        <v>82</v>
      </c>
      <c r="F9" s="10" t="str">
        <f>IF(D9=[2]Lists!$K$4,"&lt; Input URL to data source &gt;",IF(D9=[2]Lists!$K$5,"&lt; Reference section in EITI Report or URL &gt;",IF(D9=[2]Lists!$K$6,"&lt; Reference evidence of non-applicability &gt;","")))</f>
        <v/>
      </c>
      <c r="H9" s="84" t="s">
        <v>847</v>
      </c>
      <c r="J9" s="530" t="s">
        <v>848</v>
      </c>
      <c r="L9" s="431"/>
      <c r="N9" s="404"/>
      <c r="P9" s="404"/>
      <c r="R9" s="39"/>
    </row>
    <row r="10" spans="1:19" s="9" customFormat="1" ht="41.4" x14ac:dyDescent="0.3">
      <c r="A10" s="14"/>
      <c r="B10" s="54" t="s">
        <v>849</v>
      </c>
      <c r="D10" s="10" t="s">
        <v>461</v>
      </c>
      <c r="F10" s="10"/>
      <c r="G10" s="38"/>
      <c r="H10" s="84" t="s">
        <v>847</v>
      </c>
      <c r="I10" s="38"/>
      <c r="J10" s="531"/>
      <c r="K10" s="38"/>
      <c r="L10" s="39"/>
      <c r="M10" s="38"/>
      <c r="N10" s="431" t="s">
        <v>850</v>
      </c>
      <c r="O10" s="38"/>
      <c r="P10" s="404" t="s">
        <v>1247</v>
      </c>
      <c r="Q10" s="38"/>
      <c r="R10" s="39"/>
      <c r="S10" s="38"/>
    </row>
    <row r="11" spans="1:19" s="9" customFormat="1" ht="15" x14ac:dyDescent="0.3">
      <c r="A11" s="14"/>
      <c r="B11" s="55" t="s">
        <v>851</v>
      </c>
      <c r="D11" s="28"/>
      <c r="F11" s="28"/>
      <c r="G11" s="40"/>
      <c r="H11" s="28"/>
      <c r="I11" s="40"/>
      <c r="J11" s="531"/>
      <c r="K11" s="40"/>
      <c r="L11" s="39"/>
      <c r="M11" s="40"/>
      <c r="N11" s="39"/>
      <c r="O11" s="40"/>
      <c r="P11" s="404"/>
      <c r="Q11" s="40"/>
      <c r="R11" s="39"/>
      <c r="S11" s="40"/>
    </row>
    <row r="12" spans="1:19" s="9" customFormat="1" ht="18.600000000000001" x14ac:dyDescent="0.3">
      <c r="A12" s="14"/>
      <c r="B12" s="24" t="s">
        <v>423</v>
      </c>
      <c r="D12" s="10" t="s">
        <v>852</v>
      </c>
      <c r="F12" s="10"/>
      <c r="G12" s="38"/>
      <c r="H12" s="84" t="s">
        <v>847</v>
      </c>
      <c r="I12" s="38"/>
      <c r="J12" s="531"/>
      <c r="K12" s="38"/>
      <c r="L12" s="39"/>
      <c r="M12" s="38"/>
      <c r="N12" s="39"/>
      <c r="O12" s="38"/>
      <c r="P12" s="404"/>
      <c r="Q12" s="38"/>
      <c r="R12" s="39"/>
      <c r="S12" s="38"/>
    </row>
    <row r="13" spans="1:19" s="9" customFormat="1" ht="15" x14ac:dyDescent="0.3">
      <c r="A13" s="14"/>
      <c r="B13" s="24" t="s">
        <v>426</v>
      </c>
      <c r="D13" s="10" t="s">
        <v>852</v>
      </c>
      <c r="F13" s="10"/>
      <c r="G13" s="40"/>
      <c r="H13" s="84" t="s">
        <v>847</v>
      </c>
      <c r="I13" s="40"/>
      <c r="J13" s="531"/>
      <c r="K13" s="40"/>
      <c r="L13" s="39"/>
      <c r="M13" s="40"/>
      <c r="N13" s="39"/>
      <c r="O13" s="40"/>
      <c r="P13" s="404"/>
      <c r="Q13" s="40"/>
      <c r="R13" s="39"/>
      <c r="S13" s="40"/>
    </row>
    <row r="14" spans="1:19" s="9" customFormat="1" ht="18.600000000000001" x14ac:dyDescent="0.3">
      <c r="A14" s="14"/>
      <c r="B14" s="24" t="s">
        <v>472</v>
      </c>
      <c r="D14" s="10" t="s">
        <v>852</v>
      </c>
      <c r="F14" s="10"/>
      <c r="G14" s="38"/>
      <c r="H14" s="84" t="s">
        <v>847</v>
      </c>
      <c r="I14" s="38"/>
      <c r="J14" s="531"/>
      <c r="K14" s="38"/>
      <c r="L14" s="39"/>
      <c r="M14" s="38"/>
      <c r="N14" s="39"/>
      <c r="O14" s="38"/>
      <c r="P14" s="404"/>
      <c r="Q14" s="38"/>
      <c r="R14" s="39"/>
      <c r="S14" s="38"/>
    </row>
    <row r="15" spans="1:19" s="9" customFormat="1" x14ac:dyDescent="0.35">
      <c r="A15" s="14"/>
      <c r="B15" s="55" t="s">
        <v>853</v>
      </c>
      <c r="D15" s="28"/>
      <c r="F15" s="28"/>
      <c r="G15" s="169"/>
      <c r="H15" s="28"/>
      <c r="I15" s="169"/>
      <c r="J15" s="531"/>
      <c r="K15" s="169"/>
      <c r="L15" s="39"/>
      <c r="M15" s="169"/>
      <c r="N15" s="39"/>
      <c r="O15" s="169"/>
      <c r="P15" s="404"/>
      <c r="Q15" s="169"/>
      <c r="R15" s="39"/>
      <c r="S15" s="169"/>
    </row>
    <row r="16" spans="1:19" s="9" customFormat="1" x14ac:dyDescent="0.35">
      <c r="A16" s="14"/>
      <c r="B16" s="24" t="s">
        <v>423</v>
      </c>
      <c r="D16" s="10" t="s">
        <v>461</v>
      </c>
      <c r="F16" s="10"/>
      <c r="G16" s="169"/>
      <c r="H16" s="84" t="s">
        <v>847</v>
      </c>
      <c r="I16" s="169"/>
      <c r="J16" s="531"/>
      <c r="K16" s="169"/>
      <c r="L16" s="39"/>
      <c r="M16" s="169"/>
      <c r="N16" s="39"/>
      <c r="O16" s="169"/>
      <c r="P16" s="404"/>
      <c r="Q16" s="169"/>
      <c r="R16" s="39"/>
      <c r="S16" s="169"/>
    </row>
    <row r="17" spans="1:19" s="9" customFormat="1" x14ac:dyDescent="0.35">
      <c r="A17" s="14"/>
      <c r="B17" s="25" t="str">
        <f>LEFT(B16,SEARCH(",",B16))&amp;" value"</f>
        <v>Crude oil (2709), value</v>
      </c>
      <c r="D17" s="10" t="s">
        <v>461</v>
      </c>
      <c r="F17" s="10"/>
      <c r="G17" s="169"/>
      <c r="H17" s="84" t="s">
        <v>847</v>
      </c>
      <c r="I17" s="169"/>
      <c r="J17" s="531"/>
      <c r="K17" s="169"/>
      <c r="L17" s="39"/>
      <c r="M17" s="169"/>
      <c r="N17" s="39"/>
      <c r="O17" s="169"/>
      <c r="P17" s="404"/>
      <c r="Q17" s="169"/>
      <c r="R17" s="39"/>
      <c r="S17" s="169"/>
    </row>
    <row r="18" spans="1:19" s="9" customFormat="1" x14ac:dyDescent="0.35">
      <c r="A18" s="14"/>
      <c r="B18" s="24" t="s">
        <v>426</v>
      </c>
      <c r="D18" s="10" t="s">
        <v>461</v>
      </c>
      <c r="F18" s="10"/>
      <c r="G18" s="169"/>
      <c r="H18" s="84" t="s">
        <v>847</v>
      </c>
      <c r="I18" s="169"/>
      <c r="J18" s="531"/>
      <c r="K18" s="169"/>
      <c r="L18" s="39"/>
      <c r="M18" s="169"/>
      <c r="N18" s="39"/>
      <c r="O18" s="169"/>
      <c r="P18" s="404"/>
      <c r="Q18" s="169"/>
      <c r="R18" s="39"/>
      <c r="S18" s="169"/>
    </row>
    <row r="19" spans="1:19" s="9" customFormat="1" x14ac:dyDescent="0.35">
      <c r="A19" s="14"/>
      <c r="B19" s="25" t="str">
        <f>LEFT(B18,SEARCH(",",B18))&amp;" value"</f>
        <v>Natural gas (2711), value</v>
      </c>
      <c r="D19" s="10" t="s">
        <v>461</v>
      </c>
      <c r="F19" s="10"/>
      <c r="G19" s="169"/>
      <c r="H19" s="84" t="s">
        <v>847</v>
      </c>
      <c r="I19" s="169"/>
      <c r="J19" s="531"/>
      <c r="K19" s="169"/>
      <c r="L19" s="39"/>
      <c r="M19" s="169"/>
      <c r="N19" s="39"/>
      <c r="O19" s="169"/>
      <c r="P19" s="404"/>
      <c r="Q19" s="169"/>
      <c r="R19" s="39"/>
      <c r="S19" s="169"/>
    </row>
    <row r="20" spans="1:19" s="9" customFormat="1" x14ac:dyDescent="0.35">
      <c r="A20" s="14"/>
      <c r="B20" s="24" t="s">
        <v>472</v>
      </c>
      <c r="D20" s="10" t="s">
        <v>461</v>
      </c>
      <c r="F20" s="10"/>
      <c r="G20" s="169"/>
      <c r="H20" s="84" t="s">
        <v>847</v>
      </c>
      <c r="I20" s="169"/>
      <c r="J20" s="531"/>
      <c r="K20" s="169"/>
      <c r="L20" s="39"/>
      <c r="M20" s="169"/>
      <c r="N20" s="39"/>
      <c r="O20" s="169"/>
      <c r="P20" s="404"/>
      <c r="Q20" s="169"/>
      <c r="R20" s="39"/>
      <c r="S20" s="169"/>
    </row>
    <row r="21" spans="1:19" s="9" customFormat="1" x14ac:dyDescent="0.35">
      <c r="A21" s="14"/>
      <c r="B21" s="25" t="str">
        <f>LEFT(B20,SEARCH(",",B20))&amp;" value"</f>
        <v>Add commodities here, value</v>
      </c>
      <c r="D21" s="10" t="s">
        <v>461</v>
      </c>
      <c r="F21" s="10"/>
      <c r="G21" s="169"/>
      <c r="H21" s="84" t="s">
        <v>847</v>
      </c>
      <c r="I21" s="169"/>
      <c r="J21" s="531"/>
      <c r="K21" s="169"/>
      <c r="L21" s="39"/>
      <c r="M21" s="169"/>
      <c r="N21" s="39"/>
      <c r="O21" s="169"/>
      <c r="P21" s="404"/>
      <c r="Q21" s="169"/>
      <c r="R21" s="39"/>
      <c r="S21" s="169"/>
    </row>
    <row r="22" spans="1:19" s="9" customFormat="1" ht="45" x14ac:dyDescent="0.35">
      <c r="A22" s="14"/>
      <c r="B22" s="55" t="s">
        <v>854</v>
      </c>
      <c r="D22" s="10" t="s">
        <v>461</v>
      </c>
      <c r="E22" s="38"/>
      <c r="F22" s="10"/>
      <c r="G22" s="169"/>
      <c r="H22" s="84" t="s">
        <v>847</v>
      </c>
      <c r="I22" s="169"/>
      <c r="J22" s="531"/>
      <c r="K22" s="169"/>
      <c r="L22" s="39"/>
      <c r="M22" s="169"/>
      <c r="N22" s="39"/>
      <c r="O22" s="169"/>
      <c r="P22" s="404"/>
      <c r="Q22" s="169"/>
      <c r="R22" s="39"/>
      <c r="S22" s="169"/>
    </row>
    <row r="23" spans="1:19" s="9" customFormat="1" ht="45" x14ac:dyDescent="0.35">
      <c r="A23" s="14"/>
      <c r="B23" s="55" t="s">
        <v>855</v>
      </c>
      <c r="D23" s="10" t="s">
        <v>461</v>
      </c>
      <c r="E23" s="38"/>
      <c r="F23" s="10"/>
      <c r="G23" s="169"/>
      <c r="H23" s="84" t="s">
        <v>847</v>
      </c>
      <c r="I23" s="169"/>
      <c r="J23" s="531"/>
      <c r="K23" s="169"/>
      <c r="L23" s="39"/>
      <c r="M23" s="169"/>
      <c r="N23" s="39"/>
      <c r="O23" s="169"/>
      <c r="P23" s="404"/>
      <c r="Q23" s="169"/>
      <c r="R23" s="39"/>
      <c r="S23" s="169"/>
    </row>
    <row r="24" spans="1:19" s="9" customFormat="1" ht="45" x14ac:dyDescent="0.35">
      <c r="A24" s="14"/>
      <c r="B24" s="55" t="s">
        <v>856</v>
      </c>
      <c r="D24" s="10" t="s">
        <v>461</v>
      </c>
      <c r="E24" s="38"/>
      <c r="F24" s="10"/>
      <c r="G24" s="169"/>
      <c r="H24" s="84" t="s">
        <v>847</v>
      </c>
      <c r="I24" s="169"/>
      <c r="J24" s="531"/>
      <c r="K24" s="169"/>
      <c r="L24" s="39"/>
      <c r="M24" s="169"/>
      <c r="N24" s="39"/>
      <c r="O24" s="169"/>
      <c r="P24" s="404"/>
      <c r="Q24" s="169"/>
      <c r="R24" s="39"/>
      <c r="S24" s="169"/>
    </row>
    <row r="25" spans="1:19" s="9" customFormat="1" ht="105" x14ac:dyDescent="0.35">
      <c r="A25" s="14"/>
      <c r="B25" s="55" t="s">
        <v>857</v>
      </c>
      <c r="D25" s="10" t="s">
        <v>461</v>
      </c>
      <c r="E25" s="38"/>
      <c r="F25" s="10"/>
      <c r="G25" s="169"/>
      <c r="H25" s="84" t="s">
        <v>847</v>
      </c>
      <c r="I25" s="169"/>
      <c r="J25" s="531"/>
      <c r="K25" s="169"/>
      <c r="L25" s="39"/>
      <c r="M25" s="169"/>
      <c r="N25" s="39"/>
      <c r="O25" s="169"/>
      <c r="P25" s="404"/>
      <c r="Q25" s="169"/>
      <c r="R25" s="39"/>
      <c r="S25" s="169"/>
    </row>
    <row r="26" spans="1:19" s="9" customFormat="1" ht="75" x14ac:dyDescent="0.35">
      <c r="A26" s="14"/>
      <c r="B26" s="55" t="s">
        <v>858</v>
      </c>
      <c r="D26" s="10" t="s">
        <v>461</v>
      </c>
      <c r="E26" s="38"/>
      <c r="F26" s="10"/>
      <c r="G26" s="169"/>
      <c r="H26" s="84" t="s">
        <v>847</v>
      </c>
      <c r="I26" s="169"/>
      <c r="J26" s="531"/>
      <c r="K26" s="169"/>
      <c r="L26" s="39"/>
      <c r="M26" s="169"/>
      <c r="N26" s="39"/>
      <c r="O26" s="169"/>
      <c r="P26" s="404"/>
      <c r="Q26" s="169"/>
      <c r="R26" s="39"/>
      <c r="S26" s="169"/>
    </row>
    <row r="27" spans="1:19" s="9" customFormat="1" ht="75" x14ac:dyDescent="0.35">
      <c r="A27" s="14"/>
      <c r="B27" s="55" t="s">
        <v>859</v>
      </c>
      <c r="D27" s="10" t="s">
        <v>461</v>
      </c>
      <c r="E27" s="38"/>
      <c r="F27" s="10"/>
      <c r="G27" s="169"/>
      <c r="H27" s="84" t="s">
        <v>847</v>
      </c>
      <c r="I27" s="169"/>
      <c r="J27" s="531"/>
      <c r="K27" s="169"/>
      <c r="L27" s="39"/>
      <c r="M27" s="169"/>
      <c r="N27" s="39"/>
      <c r="O27" s="169"/>
      <c r="P27" s="404"/>
      <c r="Q27" s="169"/>
      <c r="R27" s="39"/>
      <c r="S27" s="169"/>
    </row>
    <row r="28" spans="1:19" s="9" customFormat="1" ht="30" x14ac:dyDescent="0.35">
      <c r="A28" s="14"/>
      <c r="B28" s="55" t="s">
        <v>860</v>
      </c>
      <c r="D28" s="10" t="s">
        <v>461</v>
      </c>
      <c r="F28" s="10"/>
      <c r="G28" s="169"/>
      <c r="H28" s="84" t="s">
        <v>847</v>
      </c>
      <c r="I28" s="169"/>
      <c r="J28" s="532"/>
      <c r="K28" s="169"/>
      <c r="L28" s="39"/>
      <c r="M28" s="169"/>
      <c r="N28" s="39"/>
      <c r="O28" s="169"/>
      <c r="P28" s="404"/>
      <c r="Q28" s="169"/>
      <c r="R28" s="39"/>
      <c r="S28" s="169"/>
    </row>
    <row r="29" spans="1:19" s="168" customFormat="1" x14ac:dyDescent="0.35">
      <c r="A29" s="167"/>
      <c r="P29" s="176"/>
    </row>
  </sheetData>
  <mergeCells count="1">
    <mergeCell ref="J9:J28"/>
  </mergeCells>
  <pageMargins left="0.7" right="0.7" top="0.75" bottom="0.75" header="0.3" footer="0.3"/>
  <pageSetup paperSize="8" orientation="landscape" horizontalDpi="1200" verticalDpi="1200" r:id="rId1"/>
</worksheet>
</file>

<file path=xl/worksheets/sheet17.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C978B-7666-2346-BB89-61A9C644A0D1}">
  <sheetPr codeName="Sheet17"/>
  <dimension ref="A1:S17"/>
  <sheetViews>
    <sheetView topLeftCell="I4" zoomScale="82" zoomScaleNormal="60" workbookViewId="0">
      <selection activeCell="P1" sqref="P1:P1048576"/>
    </sheetView>
  </sheetViews>
  <sheetFormatPr defaultColWidth="10.5" defaultRowHeight="16.2" x14ac:dyDescent="0.35"/>
  <cols>
    <col min="1" max="1" width="17.3984375" style="166" customWidth="1"/>
    <col min="2" max="2" width="45.5" style="166" customWidth="1"/>
    <col min="3" max="3" width="3.3984375" style="166" customWidth="1"/>
    <col min="4" max="4" width="26" style="166" customWidth="1"/>
    <col min="5" max="5" width="3.3984375" style="166" customWidth="1"/>
    <col min="6" max="6" width="26" style="166" customWidth="1"/>
    <col min="7" max="7" width="3.3984375" style="166" customWidth="1"/>
    <col min="8" max="8" width="26" style="166" customWidth="1"/>
    <col min="9" max="9" width="3.3984375"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462" customWidth="1"/>
    <col min="17" max="17" width="3" style="166" customWidth="1"/>
    <col min="18" max="18" width="39.5" style="166" customWidth="1"/>
    <col min="19" max="19" width="3" style="166" customWidth="1"/>
    <col min="20" max="16384" width="10.5" style="166"/>
  </cols>
  <sheetData>
    <row r="1" spans="1:19" ht="24.6" x14ac:dyDescent="0.4">
      <c r="A1" s="165" t="s">
        <v>861</v>
      </c>
    </row>
    <row r="3" spans="1:19" s="40" customFormat="1" ht="135" x14ac:dyDescent="0.3">
      <c r="A3" s="206" t="s">
        <v>862</v>
      </c>
      <c r="B3" s="57" t="s">
        <v>863</v>
      </c>
      <c r="D3" s="10" t="s">
        <v>438</v>
      </c>
      <c r="F3" s="58"/>
      <c r="H3" s="58"/>
      <c r="J3" s="49"/>
      <c r="L3" s="39"/>
      <c r="N3" s="39"/>
      <c r="P3" s="404"/>
      <c r="R3" s="39"/>
    </row>
    <row r="4" spans="1:19" s="38" customFormat="1" ht="18.600000000000001" x14ac:dyDescent="0.3">
      <c r="A4" s="56"/>
      <c r="B4" s="47"/>
      <c r="D4" s="47"/>
      <c r="F4" s="47"/>
      <c r="H4" s="47"/>
      <c r="J4" s="48"/>
      <c r="L4" s="48"/>
      <c r="P4" s="463"/>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64"/>
      <c r="R6" s="48"/>
    </row>
    <row r="7" spans="1:19" s="40" customFormat="1" ht="165.6" x14ac:dyDescent="0.3">
      <c r="A7" s="206" t="s">
        <v>164</v>
      </c>
      <c r="B7" s="57" t="s">
        <v>864</v>
      </c>
      <c r="D7" s="10" t="s">
        <v>82</v>
      </c>
      <c r="F7" s="58"/>
      <c r="H7" s="58"/>
      <c r="J7" s="49"/>
      <c r="L7" s="399" t="s">
        <v>865</v>
      </c>
      <c r="N7" s="399" t="s">
        <v>866</v>
      </c>
      <c r="P7" s="404" t="s">
        <v>1248</v>
      </c>
      <c r="R7" s="39"/>
    </row>
    <row r="8" spans="1:19" s="38" customFormat="1" ht="18.600000000000001" x14ac:dyDescent="0.3">
      <c r="A8" s="56"/>
      <c r="B8" s="47"/>
      <c r="D8" s="47"/>
      <c r="F8" s="47"/>
      <c r="H8" s="47"/>
      <c r="J8" s="48"/>
      <c r="L8" s="48"/>
      <c r="N8" s="48"/>
      <c r="P8" s="464"/>
      <c r="R8" s="48"/>
    </row>
    <row r="9" spans="1:19" s="9" customFormat="1" ht="30" x14ac:dyDescent="0.3">
      <c r="A9" s="14"/>
      <c r="B9" s="54" t="s">
        <v>867</v>
      </c>
      <c r="D9" s="10" t="s">
        <v>461</v>
      </c>
      <c r="F9" s="10"/>
      <c r="G9" s="38"/>
      <c r="H9" s="84" t="s">
        <v>847</v>
      </c>
      <c r="I9" s="38"/>
      <c r="J9" s="530"/>
      <c r="K9" s="38"/>
      <c r="L9" s="39"/>
      <c r="M9" s="38"/>
      <c r="N9" s="39"/>
      <c r="O9" s="38"/>
      <c r="P9" s="404"/>
      <c r="Q9" s="38"/>
      <c r="R9" s="39"/>
      <c r="S9" s="38"/>
    </row>
    <row r="10" spans="1:19" s="9" customFormat="1" ht="30" x14ac:dyDescent="0.3">
      <c r="A10" s="14"/>
      <c r="B10" s="59" t="s">
        <v>868</v>
      </c>
      <c r="D10" s="10" t="s">
        <v>461</v>
      </c>
      <c r="F10" s="10"/>
      <c r="G10" s="38"/>
      <c r="H10" s="84" t="s">
        <v>847</v>
      </c>
      <c r="I10" s="38"/>
      <c r="J10" s="531"/>
      <c r="K10" s="38"/>
      <c r="L10" s="39"/>
      <c r="M10" s="38"/>
      <c r="N10" s="39"/>
      <c r="O10" s="38"/>
      <c r="P10" s="404"/>
      <c r="Q10" s="38"/>
      <c r="R10" s="39"/>
      <c r="S10" s="38"/>
    </row>
    <row r="11" spans="1:19" s="9" customFormat="1" ht="45" x14ac:dyDescent="0.3">
      <c r="A11" s="14"/>
      <c r="B11" s="59" t="s">
        <v>869</v>
      </c>
      <c r="D11" s="10" t="s">
        <v>461</v>
      </c>
      <c r="F11" s="10"/>
      <c r="G11" s="38"/>
      <c r="H11" s="84" t="s">
        <v>847</v>
      </c>
      <c r="I11" s="38"/>
      <c r="J11" s="531"/>
      <c r="K11" s="38"/>
      <c r="L11" s="39"/>
      <c r="M11" s="38"/>
      <c r="N11" s="39"/>
      <c r="O11" s="38"/>
      <c r="P11" s="404"/>
      <c r="Q11" s="38"/>
      <c r="R11" s="39"/>
      <c r="S11" s="38"/>
    </row>
    <row r="12" spans="1:19" s="9" customFormat="1" ht="45" x14ac:dyDescent="0.3">
      <c r="A12" s="14"/>
      <c r="B12" s="59" t="s">
        <v>870</v>
      </c>
      <c r="D12" s="10" t="s">
        <v>461</v>
      </c>
      <c r="F12" s="10"/>
      <c r="G12" s="38"/>
      <c r="H12" s="84" t="s">
        <v>847</v>
      </c>
      <c r="I12" s="38"/>
      <c r="J12" s="531"/>
      <c r="K12" s="38"/>
      <c r="L12" s="39"/>
      <c r="M12" s="38"/>
      <c r="N12" s="39"/>
      <c r="O12" s="38"/>
      <c r="P12" s="404"/>
      <c r="Q12" s="38"/>
      <c r="R12" s="39"/>
      <c r="S12" s="38"/>
    </row>
    <row r="13" spans="1:19" s="9" customFormat="1" ht="60" x14ac:dyDescent="0.3">
      <c r="A13" s="14"/>
      <c r="B13" s="59" t="s">
        <v>871</v>
      </c>
      <c r="D13" s="10" t="s">
        <v>461</v>
      </c>
      <c r="F13" s="10"/>
      <c r="G13" s="38"/>
      <c r="H13" s="84" t="s">
        <v>847</v>
      </c>
      <c r="I13" s="38"/>
      <c r="J13" s="531"/>
      <c r="K13" s="38"/>
      <c r="L13" s="39"/>
      <c r="M13" s="38"/>
      <c r="N13" s="39"/>
      <c r="O13" s="38"/>
      <c r="P13" s="404"/>
      <c r="Q13" s="38"/>
      <c r="R13" s="39"/>
      <c r="S13" s="38"/>
    </row>
    <row r="14" spans="1:19" s="9" customFormat="1" ht="45" x14ac:dyDescent="0.3">
      <c r="A14" s="14"/>
      <c r="B14" s="59" t="s">
        <v>872</v>
      </c>
      <c r="D14" s="10" t="s">
        <v>461</v>
      </c>
      <c r="F14" s="10"/>
      <c r="G14" s="38"/>
      <c r="H14" s="84" t="s">
        <v>847</v>
      </c>
      <c r="I14" s="38"/>
      <c r="J14" s="531"/>
      <c r="K14" s="38"/>
      <c r="L14" s="39"/>
      <c r="M14" s="38"/>
      <c r="N14" s="39"/>
      <c r="O14" s="38"/>
      <c r="P14" s="404"/>
      <c r="Q14" s="38"/>
      <c r="R14" s="39"/>
      <c r="S14" s="38"/>
    </row>
    <row r="15" spans="1:19" s="9" customFormat="1" ht="45" x14ac:dyDescent="0.3">
      <c r="A15" s="14"/>
      <c r="B15" s="59" t="s">
        <v>873</v>
      </c>
      <c r="D15" s="10" t="s">
        <v>461</v>
      </c>
      <c r="F15" s="10"/>
      <c r="G15" s="38"/>
      <c r="H15" s="84" t="s">
        <v>847</v>
      </c>
      <c r="I15" s="38"/>
      <c r="J15" s="531"/>
      <c r="K15" s="38"/>
      <c r="L15" s="39"/>
      <c r="M15" s="38"/>
      <c r="N15" s="39"/>
      <c r="O15" s="38"/>
      <c r="P15" s="404"/>
      <c r="Q15" s="38"/>
      <c r="R15" s="39"/>
      <c r="S15" s="38"/>
    </row>
    <row r="16" spans="1:19" s="69" customFormat="1" ht="47.25" customHeight="1" x14ac:dyDescent="0.3">
      <c r="A16" s="68"/>
      <c r="B16" s="73" t="s">
        <v>874</v>
      </c>
      <c r="D16" s="10" t="s">
        <v>461</v>
      </c>
      <c r="F16" s="71"/>
      <c r="G16" s="70"/>
      <c r="H16" s="84" t="s">
        <v>847</v>
      </c>
      <c r="I16" s="70"/>
      <c r="J16" s="532"/>
      <c r="K16" s="70"/>
      <c r="L16" s="72"/>
      <c r="M16" s="70"/>
      <c r="N16" s="72"/>
      <c r="O16" s="70"/>
      <c r="P16" s="444"/>
      <c r="Q16" s="70"/>
      <c r="R16" s="72"/>
      <c r="S16" s="70"/>
    </row>
    <row r="17" spans="1:19" s="168" customFormat="1" ht="18.600000000000001" x14ac:dyDescent="0.35">
      <c r="A17" s="167"/>
      <c r="G17" s="50"/>
      <c r="I17" s="50"/>
      <c r="J17" s="11"/>
      <c r="K17" s="50"/>
      <c r="L17" s="11"/>
      <c r="M17" s="50"/>
      <c r="N17" s="11"/>
      <c r="O17" s="50"/>
      <c r="P17" s="465"/>
      <c r="Q17" s="50"/>
      <c r="R17" s="11"/>
      <c r="S17" s="50"/>
    </row>
  </sheetData>
  <mergeCells count="1">
    <mergeCell ref="J9:J16"/>
  </mergeCells>
  <pageMargins left="0.7" right="0.7" top="0.75" bottom="0.75" header="0.3" footer="0.3"/>
  <pageSetup paperSize="8" orientation="landscape" horizontalDpi="1200" verticalDpi="1200" r:id="rId1"/>
</worksheet>
</file>

<file path=xl/worksheets/sheet18.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23323-9D40-C641-9A85-FA798ECEDDDE}">
  <sheetPr codeName="Sheet18"/>
  <dimension ref="A1:S14"/>
  <sheetViews>
    <sheetView topLeftCell="I4" zoomScale="70" zoomScaleNormal="70" workbookViewId="0">
      <selection activeCell="P7" sqref="P7"/>
    </sheetView>
  </sheetViews>
  <sheetFormatPr defaultColWidth="10.5" defaultRowHeight="16.2" x14ac:dyDescent="0.35"/>
  <cols>
    <col min="1" max="1" width="16.3984375" style="166" customWidth="1"/>
    <col min="2" max="2" width="42" style="166" customWidth="1"/>
    <col min="3" max="3" width="3.3984375" style="166" customWidth="1"/>
    <col min="4" max="4" width="35.3984375" style="166" customWidth="1"/>
    <col min="5" max="5" width="3.3984375" style="166" customWidth="1"/>
    <col min="6" max="6" width="35.3984375" style="166" customWidth="1"/>
    <col min="7" max="7" width="3.3984375" style="166" customWidth="1"/>
    <col min="8" max="8" width="35.3984375" style="166" customWidth="1"/>
    <col min="9" max="9" width="3.3984375"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875</v>
      </c>
    </row>
    <row r="3" spans="1:19" s="40" customFormat="1" ht="105" x14ac:dyDescent="0.3">
      <c r="A3" s="206" t="s">
        <v>876</v>
      </c>
      <c r="B3" s="57" t="s">
        <v>877</v>
      </c>
      <c r="D3" s="10" t="s">
        <v>438</v>
      </c>
      <c r="F3" s="58"/>
      <c r="H3" s="58"/>
      <c r="J3" s="49"/>
      <c r="L3" s="39"/>
      <c r="N3" s="39"/>
      <c r="P3" s="39"/>
      <c r="R3" s="39"/>
    </row>
    <row r="4" spans="1:19" s="38" customFormat="1" ht="18.600000000000001" x14ac:dyDescent="0.3">
      <c r="A4" s="56"/>
      <c r="B4" s="47"/>
      <c r="D4" s="47"/>
      <c r="F4" s="47"/>
      <c r="H4" s="47"/>
      <c r="J4" s="48"/>
      <c r="L4" s="48"/>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8"/>
    </row>
    <row r="7" spans="1:19" s="40" customFormat="1" ht="75" x14ac:dyDescent="0.3">
      <c r="A7" s="206" t="s">
        <v>164</v>
      </c>
      <c r="B7" s="57" t="s">
        <v>878</v>
      </c>
      <c r="D7" s="10" t="s">
        <v>82</v>
      </c>
      <c r="F7" s="10"/>
      <c r="H7" s="10"/>
      <c r="J7" s="49"/>
      <c r="L7" s="404" t="s">
        <v>879</v>
      </c>
      <c r="M7" s="38"/>
      <c r="N7" s="430" t="s">
        <v>1183</v>
      </c>
      <c r="O7" s="38"/>
      <c r="P7" s="404" t="s">
        <v>1184</v>
      </c>
      <c r="Q7" s="38"/>
      <c r="R7" s="39"/>
    </row>
    <row r="8" spans="1:19" s="38" customFormat="1" ht="18.600000000000001" x14ac:dyDescent="0.3">
      <c r="A8" s="56"/>
      <c r="B8" s="47"/>
      <c r="D8" s="47"/>
      <c r="F8" s="47"/>
      <c r="H8" s="47"/>
      <c r="J8" s="48"/>
      <c r="L8" s="48"/>
      <c r="N8" s="48"/>
      <c r="P8" s="48"/>
      <c r="R8" s="48"/>
    </row>
    <row r="9" spans="1:19" s="9" customFormat="1" ht="30" x14ac:dyDescent="0.3">
      <c r="A9" s="14"/>
      <c r="B9" s="54" t="s">
        <v>880</v>
      </c>
      <c r="D9" s="10" t="s">
        <v>461</v>
      </c>
      <c r="F9" s="10"/>
      <c r="G9" s="38"/>
      <c r="H9" s="573" t="s">
        <v>881</v>
      </c>
      <c r="I9" s="38"/>
      <c r="J9" s="530"/>
      <c r="K9" s="38"/>
      <c r="L9" s="39"/>
      <c r="M9" s="38"/>
      <c r="N9" s="39"/>
      <c r="O9" s="38"/>
      <c r="P9" s="39"/>
      <c r="Q9" s="38"/>
      <c r="R9" s="39"/>
      <c r="S9" s="38"/>
    </row>
    <row r="10" spans="1:19" s="9" customFormat="1" ht="78.900000000000006" customHeight="1" x14ac:dyDescent="0.3">
      <c r="A10" s="14"/>
      <c r="B10" s="59" t="s">
        <v>882</v>
      </c>
      <c r="D10" s="10" t="s">
        <v>461</v>
      </c>
      <c r="F10" s="10"/>
      <c r="G10" s="40"/>
      <c r="H10" s="574"/>
      <c r="I10" s="40"/>
      <c r="J10" s="531"/>
      <c r="K10" s="40"/>
      <c r="L10" s="39"/>
      <c r="M10" s="40"/>
      <c r="N10" s="39"/>
      <c r="O10" s="40"/>
      <c r="P10" s="39"/>
      <c r="Q10" s="40"/>
      <c r="R10" s="39"/>
      <c r="S10" s="40"/>
    </row>
    <row r="11" spans="1:19" s="9" customFormat="1" ht="30.75" customHeight="1" x14ac:dyDescent="0.3">
      <c r="A11" s="14"/>
      <c r="B11" s="59" t="s">
        <v>883</v>
      </c>
      <c r="D11" s="10" t="s">
        <v>461</v>
      </c>
      <c r="F11" s="10"/>
      <c r="G11" s="40"/>
      <c r="H11" s="574"/>
      <c r="I11" s="40"/>
      <c r="J11" s="531"/>
      <c r="K11" s="40"/>
      <c r="L11" s="39"/>
      <c r="M11" s="40"/>
      <c r="N11" s="39"/>
      <c r="O11" s="40"/>
      <c r="P11" s="39"/>
      <c r="Q11" s="40"/>
      <c r="R11" s="39"/>
      <c r="S11" s="40"/>
    </row>
    <row r="12" spans="1:19" s="9" customFormat="1" ht="47.25" customHeight="1" x14ac:dyDescent="0.3">
      <c r="A12" s="14"/>
      <c r="B12" s="59" t="s">
        <v>884</v>
      </c>
      <c r="D12" s="10" t="s">
        <v>461</v>
      </c>
      <c r="F12" s="10"/>
      <c r="G12" s="40"/>
      <c r="H12" s="574"/>
      <c r="I12" s="40"/>
      <c r="J12" s="531"/>
      <c r="K12" s="40"/>
      <c r="L12" s="39"/>
      <c r="M12" s="40"/>
      <c r="N12" s="39"/>
      <c r="O12" s="40"/>
      <c r="P12" s="39"/>
      <c r="Q12" s="40"/>
      <c r="R12" s="39"/>
      <c r="S12" s="40"/>
    </row>
    <row r="13" spans="1:19" s="9" customFormat="1" ht="62.25" customHeight="1" x14ac:dyDescent="0.3">
      <c r="A13" s="14"/>
      <c r="B13" s="59" t="s">
        <v>885</v>
      </c>
      <c r="D13" s="10" t="s">
        <v>461</v>
      </c>
      <c r="F13" s="10"/>
      <c r="G13" s="40"/>
      <c r="H13" s="575"/>
      <c r="I13" s="40"/>
      <c r="J13" s="532"/>
      <c r="K13" s="40"/>
      <c r="L13" s="39"/>
      <c r="M13" s="40"/>
      <c r="N13" s="39"/>
      <c r="O13" s="40"/>
      <c r="P13" s="39"/>
      <c r="Q13" s="40"/>
      <c r="R13" s="39"/>
      <c r="S13" s="40"/>
    </row>
    <row r="14" spans="1:19" s="168" customFormat="1" x14ac:dyDescent="0.35">
      <c r="A14" s="167"/>
    </row>
  </sheetData>
  <mergeCells count="2">
    <mergeCell ref="J9:J13"/>
    <mergeCell ref="H9:H13"/>
  </mergeCells>
  <pageMargins left="0.7" right="0.7" top="0.75" bottom="0.75" header="0.3" footer="0.3"/>
  <pageSetup paperSize="8" orientation="landscape" horizontalDpi="1200" verticalDpi="1200" r:id="rId1"/>
</worksheet>
</file>

<file path=xl/worksheets/sheet19.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9A7D1-819C-604C-84F0-50340ECF6734}">
  <sheetPr codeName="Sheet19"/>
  <dimension ref="A1:S17"/>
  <sheetViews>
    <sheetView topLeftCell="I4" zoomScale="80" zoomScaleNormal="80" zoomScalePageLayoutView="50" workbookViewId="0">
      <selection activeCell="L9" sqref="L9"/>
    </sheetView>
  </sheetViews>
  <sheetFormatPr defaultColWidth="10.5" defaultRowHeight="16.2" x14ac:dyDescent="0.35"/>
  <cols>
    <col min="1" max="1" width="23.8984375" style="166" customWidth="1"/>
    <col min="2" max="2" width="38" style="166" customWidth="1"/>
    <col min="3" max="3" width="3.3984375" style="166" customWidth="1"/>
    <col min="4" max="4" width="32.5" style="166" customWidth="1"/>
    <col min="5" max="5" width="3.3984375" style="166" customWidth="1"/>
    <col min="6" max="6" width="32.5" style="166" customWidth="1"/>
    <col min="7" max="7" width="3.3984375" style="166" customWidth="1"/>
    <col min="8" max="8" width="55.09765625" style="166" customWidth="1"/>
    <col min="9" max="9" width="3.3984375"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886</v>
      </c>
    </row>
    <row r="3" spans="1:19" s="40" customFormat="1" ht="120" x14ac:dyDescent="0.3">
      <c r="A3" s="206" t="s">
        <v>887</v>
      </c>
      <c r="B3" s="57" t="s">
        <v>888</v>
      </c>
      <c r="D3" s="10" t="s">
        <v>106</v>
      </c>
      <c r="F3" s="58"/>
      <c r="H3" s="58"/>
      <c r="J3" s="49"/>
      <c r="L3" s="39"/>
      <c r="N3" s="39"/>
      <c r="P3" s="39"/>
      <c r="R3" s="39"/>
    </row>
    <row r="4" spans="1:19" s="38" customFormat="1" ht="18.600000000000001" x14ac:dyDescent="0.3">
      <c r="A4" s="56"/>
      <c r="B4" s="47"/>
      <c r="D4" s="47"/>
      <c r="F4" s="47"/>
      <c r="H4" s="47"/>
      <c r="J4" s="48"/>
      <c r="L4" s="48"/>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8"/>
    </row>
    <row r="7" spans="1:19" s="40" customFormat="1" ht="30" x14ac:dyDescent="0.3">
      <c r="A7" s="206" t="s">
        <v>164</v>
      </c>
      <c r="B7" s="57" t="s">
        <v>889</v>
      </c>
      <c r="D7" s="10" t="s">
        <v>58</v>
      </c>
      <c r="F7" s="58"/>
      <c r="H7" s="58"/>
      <c r="J7" s="49"/>
    </row>
    <row r="8" spans="1:19" s="38" customFormat="1" ht="18.600000000000001" x14ac:dyDescent="0.3">
      <c r="A8" s="56"/>
      <c r="B8" s="47"/>
      <c r="D8" s="47"/>
      <c r="F8" s="47"/>
      <c r="H8" s="47"/>
      <c r="J8" s="48"/>
      <c r="L8" s="48"/>
      <c r="N8" s="48"/>
      <c r="P8" s="48"/>
      <c r="R8" s="48"/>
    </row>
    <row r="9" spans="1:19" s="9" customFormat="1" ht="138" x14ac:dyDescent="0.3">
      <c r="A9" s="14"/>
      <c r="B9" s="54" t="s">
        <v>890</v>
      </c>
      <c r="D9" s="10" t="s">
        <v>891</v>
      </c>
      <c r="F9" s="10" t="str">
        <f>IF(D9=[2]Lists!$K$4,"&lt; Input URL to data source &gt;",IF(D9=[2]Lists!$K$5,"&lt; Reference section in EITI Report or URL &gt;",IF(D9=[2]Lists!$K$6,"&lt; Reference evidence of non-applicability &gt;","")))</f>
        <v/>
      </c>
      <c r="G9" s="38"/>
      <c r="H9" s="84" t="s">
        <v>892</v>
      </c>
      <c r="I9" s="38"/>
      <c r="J9" s="576"/>
      <c r="K9" s="38"/>
      <c r="L9" s="399" t="s">
        <v>893</v>
      </c>
      <c r="M9" s="38"/>
      <c r="N9" s="39"/>
      <c r="O9" s="38"/>
      <c r="P9" s="39"/>
      <c r="Q9" s="38"/>
      <c r="R9" s="39"/>
      <c r="S9" s="38"/>
    </row>
    <row r="10" spans="1:19" s="9" customFormat="1" ht="90" x14ac:dyDescent="0.3">
      <c r="A10" s="14"/>
      <c r="B10" s="59" t="s">
        <v>894</v>
      </c>
      <c r="D10" s="10" t="s">
        <v>58</v>
      </c>
      <c r="F10" s="10"/>
      <c r="G10" s="38"/>
      <c r="H10" s="84" t="s">
        <v>895</v>
      </c>
      <c r="I10" s="38"/>
      <c r="J10" s="577"/>
      <c r="K10" s="38"/>
      <c r="L10" s="227" t="s">
        <v>896</v>
      </c>
      <c r="M10" s="38"/>
      <c r="N10" s="39"/>
      <c r="O10" s="38"/>
      <c r="P10" s="39"/>
      <c r="Q10" s="38"/>
      <c r="R10" s="39"/>
      <c r="S10" s="38"/>
    </row>
    <row r="11" spans="1:19" s="9" customFormat="1" ht="30" x14ac:dyDescent="0.3">
      <c r="A11" s="14"/>
      <c r="B11" s="59" t="s">
        <v>897</v>
      </c>
      <c r="D11" s="382" t="s">
        <v>898</v>
      </c>
      <c r="F11" s="10"/>
      <c r="G11" s="40"/>
      <c r="H11" s="10"/>
      <c r="I11" s="40"/>
      <c r="J11" s="577"/>
      <c r="K11" s="40"/>
      <c r="L11" s="39"/>
      <c r="M11" s="40"/>
      <c r="N11" s="39"/>
      <c r="O11" s="40"/>
      <c r="P11" s="39"/>
      <c r="Q11" s="40"/>
      <c r="R11" s="39"/>
      <c r="S11" s="40"/>
    </row>
    <row r="12" spans="1:19" s="9" customFormat="1" ht="30" x14ac:dyDescent="0.3">
      <c r="A12" s="14"/>
      <c r="B12" s="59" t="s">
        <v>899</v>
      </c>
      <c r="D12" s="10" t="s">
        <v>82</v>
      </c>
      <c r="F12" s="10"/>
      <c r="G12" s="38"/>
      <c r="H12" s="10"/>
      <c r="I12" s="38"/>
      <c r="J12" s="577"/>
      <c r="K12" s="38"/>
      <c r="L12" s="413" t="s">
        <v>900</v>
      </c>
      <c r="M12" s="38"/>
      <c r="N12" s="399" t="s">
        <v>901</v>
      </c>
      <c r="O12" s="38"/>
      <c r="P12" s="39" t="s">
        <v>1249</v>
      </c>
      <c r="Q12" s="38"/>
      <c r="R12" s="39"/>
      <c r="S12" s="38"/>
    </row>
    <row r="13" spans="1:19" s="9" customFormat="1" ht="30" x14ac:dyDescent="0.3">
      <c r="A13" s="14"/>
      <c r="B13" s="59" t="s">
        <v>902</v>
      </c>
      <c r="D13" s="10" t="s">
        <v>438</v>
      </c>
      <c r="F13" s="10"/>
      <c r="G13" s="38"/>
      <c r="H13" s="10"/>
      <c r="I13" s="38"/>
      <c r="J13" s="577"/>
      <c r="K13" s="38"/>
      <c r="L13" s="39"/>
      <c r="M13" s="38"/>
      <c r="N13" s="427" t="s">
        <v>903</v>
      </c>
      <c r="O13" s="38"/>
      <c r="P13" s="39"/>
      <c r="Q13" s="38"/>
      <c r="R13" s="39"/>
      <c r="S13" s="38"/>
    </row>
    <row r="14" spans="1:19" s="9" customFormat="1" ht="30" x14ac:dyDescent="0.3">
      <c r="A14" s="14"/>
      <c r="B14" s="59" t="s">
        <v>904</v>
      </c>
      <c r="D14" s="10" t="s">
        <v>58</v>
      </c>
      <c r="F14" s="10"/>
      <c r="G14" s="38"/>
      <c r="H14" s="10" t="s">
        <v>905</v>
      </c>
      <c r="I14" s="38"/>
      <c r="J14" s="577"/>
      <c r="K14" s="38"/>
      <c r="L14" s="227" t="s">
        <v>906</v>
      </c>
      <c r="M14" s="38"/>
      <c r="N14" s="39"/>
      <c r="O14" s="38"/>
      <c r="P14" s="39"/>
      <c r="Q14" s="38"/>
      <c r="R14" s="39"/>
      <c r="S14" s="38"/>
    </row>
    <row r="15" spans="1:19" s="9" customFormat="1" ht="30" x14ac:dyDescent="0.3">
      <c r="A15" s="14"/>
      <c r="B15" s="59" t="s">
        <v>907</v>
      </c>
      <c r="D15" s="10" t="s">
        <v>908</v>
      </c>
      <c r="F15" s="10"/>
      <c r="G15" s="38"/>
      <c r="H15" s="10" t="s">
        <v>909</v>
      </c>
      <c r="I15" s="38"/>
      <c r="J15" s="577"/>
      <c r="K15" s="38"/>
      <c r="L15" s="39"/>
      <c r="M15" s="38"/>
      <c r="N15" s="39"/>
      <c r="O15" s="38"/>
      <c r="P15" s="39"/>
      <c r="Q15" s="38"/>
      <c r="R15" s="39"/>
      <c r="S15" s="38"/>
    </row>
    <row r="16" spans="1:19" s="9" customFormat="1" ht="45" x14ac:dyDescent="0.3">
      <c r="A16" s="14"/>
      <c r="B16" s="59" t="s">
        <v>910</v>
      </c>
      <c r="D16" s="10" t="s">
        <v>58</v>
      </c>
      <c r="F16" s="10"/>
      <c r="G16" s="38"/>
      <c r="H16" s="10"/>
      <c r="I16" s="38"/>
      <c r="J16" s="578"/>
      <c r="K16" s="38"/>
      <c r="L16" s="399" t="s">
        <v>911</v>
      </c>
      <c r="M16" s="38"/>
      <c r="N16" s="399" t="s">
        <v>912</v>
      </c>
      <c r="O16" s="38"/>
      <c r="P16" s="39" t="s">
        <v>1185</v>
      </c>
      <c r="Q16" s="38"/>
      <c r="R16" s="39"/>
      <c r="S16" s="38"/>
    </row>
    <row r="17" spans="1:1" s="168" customFormat="1" x14ac:dyDescent="0.35">
      <c r="A17" s="167"/>
    </row>
  </sheetData>
  <mergeCells count="1">
    <mergeCell ref="J9:J16"/>
  </mergeCells>
  <pageMargins left="0.7" right="0.7" top="0.75" bottom="0.75" header="0.3" footer="0.3"/>
  <pageSetup paperSize="8" orientation="landscape" horizontalDpi="1200" verticalDpi="1200" r:id="rId1"/>
</worksheet>
</file>

<file path=xl/worksheets/sheet20.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6601C-ED06-7D40-B523-FCA35A63C375}">
  <sheetPr codeName="Sheet20"/>
  <dimension ref="A1:S14"/>
  <sheetViews>
    <sheetView topLeftCell="I9" zoomScale="70" zoomScaleNormal="70" workbookViewId="0">
      <selection activeCell="P12" sqref="P12"/>
    </sheetView>
  </sheetViews>
  <sheetFormatPr defaultColWidth="10.5" defaultRowHeight="16.2" x14ac:dyDescent="0.35"/>
  <cols>
    <col min="1" max="1" width="14.8984375" style="166" customWidth="1"/>
    <col min="2" max="2" width="48" style="166" customWidth="1"/>
    <col min="3" max="3" width="3" style="166" customWidth="1"/>
    <col min="4" max="4" width="35.09765625" style="166" customWidth="1"/>
    <col min="5" max="5" width="3" style="166" customWidth="1"/>
    <col min="6" max="6" width="30.3984375" style="166" customWidth="1"/>
    <col min="7" max="7" width="3" style="166" customWidth="1"/>
    <col min="8" max="8" width="50.8984375"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41.69921875" style="166" customWidth="1"/>
    <col min="17" max="17" width="3" style="166" customWidth="1"/>
    <col min="18" max="18" width="39.5" style="462" customWidth="1"/>
    <col min="19" max="19" width="3" style="166" customWidth="1"/>
    <col min="20" max="16384" width="10.5" style="166"/>
  </cols>
  <sheetData>
    <row r="1" spans="1:19" ht="24.6" x14ac:dyDescent="0.4">
      <c r="A1" s="165" t="s">
        <v>913</v>
      </c>
    </row>
    <row r="3" spans="1:19" s="40" customFormat="1" ht="105" x14ac:dyDescent="0.3">
      <c r="A3" s="206" t="s">
        <v>914</v>
      </c>
      <c r="B3" s="57" t="s">
        <v>915</v>
      </c>
      <c r="D3" s="10" t="s">
        <v>106</v>
      </c>
      <c r="F3" s="58"/>
      <c r="H3" s="58"/>
      <c r="J3" s="49"/>
      <c r="L3" s="39"/>
      <c r="N3" s="39"/>
      <c r="P3" s="39"/>
      <c r="R3" s="404"/>
    </row>
    <row r="4" spans="1:19" s="38" customFormat="1" ht="18.600000000000001" x14ac:dyDescent="0.3">
      <c r="A4" s="56"/>
      <c r="B4" s="47"/>
      <c r="D4" s="47"/>
      <c r="F4" s="47"/>
      <c r="H4" s="47"/>
      <c r="J4" s="48"/>
      <c r="L4" s="48"/>
      <c r="R4" s="463"/>
    </row>
    <row r="5" spans="1:19" s="53" customFormat="1" ht="74.400000000000006" x14ac:dyDescent="0.3">
      <c r="A5" s="51"/>
      <c r="B5" s="52" t="s">
        <v>107</v>
      </c>
      <c r="D5" s="81" t="s">
        <v>108</v>
      </c>
      <c r="E5" s="45"/>
      <c r="F5" s="81" t="s">
        <v>109</v>
      </c>
      <c r="G5" s="45"/>
      <c r="H5" s="81" t="s">
        <v>110</v>
      </c>
      <c r="J5" s="38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64"/>
    </row>
    <row r="7" spans="1:19" s="40" customFormat="1" ht="45" x14ac:dyDescent="0.3">
      <c r="A7" s="206" t="s">
        <v>164</v>
      </c>
      <c r="B7" s="57" t="s">
        <v>916</v>
      </c>
      <c r="D7" s="10" t="s">
        <v>58</v>
      </c>
      <c r="F7" s="58"/>
      <c r="H7" s="58"/>
      <c r="J7" s="49"/>
      <c r="L7" s="39"/>
      <c r="M7" s="38"/>
      <c r="N7" s="39"/>
      <c r="O7" s="38"/>
      <c r="P7" s="39"/>
      <c r="Q7" s="38"/>
      <c r="R7" s="404"/>
    </row>
    <row r="8" spans="1:19" s="38" customFormat="1" ht="18.600000000000001" x14ac:dyDescent="0.3">
      <c r="A8" s="56"/>
      <c r="B8" s="47"/>
      <c r="D8" s="47"/>
      <c r="F8" s="47"/>
      <c r="H8" s="47"/>
      <c r="J8" s="48"/>
      <c r="L8" s="48"/>
      <c r="N8" s="48"/>
      <c r="P8" s="48"/>
      <c r="R8" s="464"/>
    </row>
    <row r="9" spans="1:19" s="9" customFormat="1" ht="331.2" x14ac:dyDescent="0.3">
      <c r="A9" s="14"/>
      <c r="B9" s="54" t="s">
        <v>917</v>
      </c>
      <c r="D9" s="10" t="s">
        <v>73</v>
      </c>
      <c r="F9" s="10"/>
      <c r="G9" s="38"/>
      <c r="H9" s="84" t="s">
        <v>918</v>
      </c>
      <c r="I9" s="38"/>
      <c r="J9" s="576"/>
      <c r="K9" s="38"/>
      <c r="L9" s="399" t="s">
        <v>919</v>
      </c>
      <c r="M9" s="38"/>
      <c r="N9" s="429" t="s">
        <v>920</v>
      </c>
      <c r="O9" s="38"/>
      <c r="P9" s="399" t="s">
        <v>1263</v>
      </c>
      <c r="Q9" s="38"/>
      <c r="R9" s="404"/>
      <c r="S9" s="38"/>
    </row>
    <row r="10" spans="1:19" s="9" customFormat="1" ht="30" x14ac:dyDescent="0.3">
      <c r="A10" s="14"/>
      <c r="B10" s="59" t="s">
        <v>921</v>
      </c>
      <c r="D10" s="10" t="s">
        <v>922</v>
      </c>
      <c r="F10" s="10"/>
      <c r="G10" s="40"/>
      <c r="H10" s="84" t="s">
        <v>918</v>
      </c>
      <c r="I10" s="40"/>
      <c r="J10" s="577"/>
      <c r="K10" s="40"/>
      <c r="L10" s="39"/>
      <c r="M10" s="40"/>
      <c r="N10" s="39"/>
      <c r="O10" s="40"/>
      <c r="P10" s="39"/>
      <c r="Q10" s="40"/>
      <c r="R10" s="404"/>
      <c r="S10" s="40"/>
    </row>
    <row r="11" spans="1:19" s="9" customFormat="1" ht="30" x14ac:dyDescent="0.3">
      <c r="A11" s="14"/>
      <c r="B11" s="59" t="s">
        <v>923</v>
      </c>
      <c r="D11" s="10" t="s">
        <v>73</v>
      </c>
      <c r="F11" s="10"/>
      <c r="G11" s="40"/>
      <c r="H11" s="84" t="s">
        <v>924</v>
      </c>
      <c r="I11" s="40"/>
      <c r="J11" s="577"/>
      <c r="K11" s="40"/>
      <c r="L11" s="39"/>
      <c r="M11" s="40"/>
      <c r="N11" s="39"/>
      <c r="O11" s="40"/>
      <c r="P11" s="39"/>
      <c r="Q11" s="40"/>
      <c r="R11" s="404"/>
      <c r="S11" s="40"/>
    </row>
    <row r="12" spans="1:19" s="9" customFormat="1" ht="114" customHeight="1" x14ac:dyDescent="0.3">
      <c r="A12" s="14"/>
      <c r="B12" s="59" t="s">
        <v>925</v>
      </c>
      <c r="D12" s="10" t="s">
        <v>73</v>
      </c>
      <c r="F12" s="10"/>
      <c r="G12" s="40"/>
      <c r="H12" s="84" t="s">
        <v>924</v>
      </c>
      <c r="I12" s="40"/>
      <c r="J12" s="577"/>
      <c r="K12" s="40"/>
      <c r="L12" s="39"/>
      <c r="M12" s="40"/>
      <c r="N12" s="399" t="s">
        <v>926</v>
      </c>
      <c r="O12" s="40"/>
      <c r="P12" s="404" t="s">
        <v>1264</v>
      </c>
      <c r="Q12" s="40"/>
      <c r="R12" s="404"/>
      <c r="S12" s="40"/>
    </row>
    <row r="13" spans="1:19" s="9" customFormat="1" ht="62.4" x14ac:dyDescent="0.3">
      <c r="A13" s="14"/>
      <c r="B13" s="59" t="s">
        <v>927</v>
      </c>
      <c r="D13" s="387" t="s">
        <v>928</v>
      </c>
      <c r="F13" s="341" t="s">
        <v>929</v>
      </c>
      <c r="G13" s="40"/>
      <c r="H13" s="84" t="s">
        <v>930</v>
      </c>
      <c r="I13" s="40"/>
      <c r="J13" s="578"/>
      <c r="K13" s="40"/>
      <c r="L13" s="39"/>
      <c r="M13" s="40"/>
      <c r="N13" s="39"/>
      <c r="O13" s="40"/>
      <c r="P13" s="39"/>
      <c r="Q13" s="40"/>
      <c r="R13" s="404"/>
      <c r="S13" s="40"/>
    </row>
    <row r="14" spans="1:19" s="168" customFormat="1" x14ac:dyDescent="0.35">
      <c r="A14" s="167"/>
      <c r="R14" s="176"/>
    </row>
  </sheetData>
  <mergeCells count="1">
    <mergeCell ref="J9:J13"/>
  </mergeCells>
  <hyperlinks>
    <hyperlink ref="F13" r:id="rId1" xr:uid="{E14D669C-7C6D-42E5-A1CF-DF7F63E71FE6}"/>
  </hyperlinks>
  <pageMargins left="0.7" right="0.7" top="0.75" bottom="0.75" header="0.3" footer="0.3"/>
  <pageSetup paperSize="8" orientation="landscape" horizontalDpi="1200" verticalDpi="1200" r:id="rId2"/>
</worksheet>
</file>

<file path=xl/worksheets/sheet2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F4958-F41D-F144-8B2E-F47B83DA49D6}">
  <sheetPr codeName="Sheet21"/>
  <dimension ref="A1:S12"/>
  <sheetViews>
    <sheetView topLeftCell="I4" zoomScale="70" zoomScaleNormal="70" workbookViewId="0">
      <selection activeCell="R8" sqref="R8"/>
    </sheetView>
  </sheetViews>
  <sheetFormatPr defaultColWidth="10.5" defaultRowHeight="16.2" x14ac:dyDescent="0.35"/>
  <cols>
    <col min="1" max="1" width="17.8984375" style="166" customWidth="1"/>
    <col min="2" max="2" width="44" style="166" customWidth="1"/>
    <col min="3" max="3" width="3" style="166" customWidth="1"/>
    <col min="4" max="4" width="25.8984375" style="166" customWidth="1"/>
    <col min="5" max="5" width="3" style="166" customWidth="1"/>
    <col min="6" max="6" width="25.8984375" style="166" customWidth="1"/>
    <col min="7" max="7" width="3" style="166" customWidth="1"/>
    <col min="8" max="8" width="29.8984375"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462" customWidth="1"/>
    <col min="19" max="19" width="3" style="166" customWidth="1"/>
    <col min="20" max="16384" width="10.5" style="166"/>
  </cols>
  <sheetData>
    <row r="1" spans="1:19" ht="24.6" x14ac:dyDescent="0.4">
      <c r="A1" s="165" t="s">
        <v>931</v>
      </c>
    </row>
    <row r="3" spans="1:19" s="40" customFormat="1" ht="150" x14ac:dyDescent="0.3">
      <c r="A3" s="206" t="s">
        <v>932</v>
      </c>
      <c r="B3" s="57" t="s">
        <v>933</v>
      </c>
      <c r="D3" s="10" t="s">
        <v>106</v>
      </c>
      <c r="F3" s="58"/>
      <c r="H3" s="58"/>
      <c r="J3" s="49"/>
      <c r="L3" s="39"/>
      <c r="N3" s="39"/>
      <c r="P3" s="39"/>
      <c r="R3" s="404"/>
    </row>
    <row r="4" spans="1:19" s="38" customFormat="1" ht="18.600000000000001" x14ac:dyDescent="0.3">
      <c r="A4" s="56"/>
      <c r="B4" s="47"/>
      <c r="D4" s="47"/>
      <c r="F4" s="47"/>
      <c r="H4" s="47"/>
      <c r="J4" s="48"/>
      <c r="L4" s="48"/>
      <c r="R4" s="463"/>
    </row>
    <row r="5" spans="1:19" s="53" customFormat="1" ht="89.4" customHeight="1"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64"/>
    </row>
    <row r="7" spans="1:19" s="38" customFormat="1" ht="232.5" customHeight="1" x14ac:dyDescent="0.3">
      <c r="A7" s="56"/>
      <c r="B7" s="196" t="s">
        <v>934</v>
      </c>
      <c r="D7" s="10" t="s">
        <v>73</v>
      </c>
      <c r="F7" s="10"/>
      <c r="H7" s="84" t="s">
        <v>935</v>
      </c>
      <c r="J7" s="576"/>
      <c r="L7" s="404" t="s">
        <v>936</v>
      </c>
      <c r="N7" s="430" t="s">
        <v>937</v>
      </c>
      <c r="P7" s="404" t="s">
        <v>1250</v>
      </c>
      <c r="R7" s="404"/>
    </row>
    <row r="8" spans="1:19" s="38" customFormat="1" ht="45" x14ac:dyDescent="0.3">
      <c r="A8" s="56"/>
      <c r="B8" s="385" t="s">
        <v>938</v>
      </c>
      <c r="D8" s="10" t="s">
        <v>58</v>
      </c>
      <c r="F8" s="10" t="str">
        <f>IF(D8=[2]Lists!$K$4,"&lt; Input URL to data source &gt;",IF(D8=[2]Lists!$K$5,"&lt; Reference section in EITI Report or URL &gt;",IF(D8=[2]Lists!$K$6,"&lt; Reference evidence of non-applicability &gt;","")))</f>
        <v/>
      </c>
      <c r="H8" s="84" t="s">
        <v>939</v>
      </c>
      <c r="J8" s="577"/>
      <c r="L8" s="39"/>
      <c r="N8" s="39"/>
      <c r="P8" s="39"/>
      <c r="R8" s="404"/>
    </row>
    <row r="9" spans="1:19" s="38" customFormat="1" ht="117.9" customHeight="1" x14ac:dyDescent="0.3">
      <c r="A9" s="56"/>
      <c r="B9" s="385" t="s">
        <v>940</v>
      </c>
      <c r="D9" s="10" t="s">
        <v>58</v>
      </c>
      <c r="F9" s="10" t="str">
        <f>IF(D9=[2]Lists!$K$4,"&lt; Input URL to data source &gt;",IF(D9=[2]Lists!$K$5,"&lt; Reference section in EITI Report or URL &gt;",IF(D9=[2]Lists!$K$6,"&lt; Reference evidence of non-applicability &gt;","")))</f>
        <v/>
      </c>
      <c r="H9" s="84" t="s">
        <v>941</v>
      </c>
      <c r="J9" s="577"/>
      <c r="L9" s="39"/>
      <c r="N9" s="430" t="s">
        <v>942</v>
      </c>
      <c r="P9" s="399" t="s">
        <v>1199</v>
      </c>
      <c r="R9" s="404"/>
    </row>
    <row r="10" spans="1:19" s="38" customFormat="1" ht="48.9" customHeight="1" x14ac:dyDescent="0.3">
      <c r="A10" s="56"/>
      <c r="B10" s="385" t="s">
        <v>943</v>
      </c>
      <c r="D10" s="10" t="s">
        <v>58</v>
      </c>
      <c r="F10" s="10" t="str">
        <f>IF(D10=[2]Lists!$K$4,"&lt; Input URL to data source &gt;",IF(D10=[2]Lists!$K$5,"&lt; Reference section in EITI Report or URL &gt;",IF(D10=[2]Lists!$K$6,"&lt; Reference evidence of non-applicability &gt;","")))</f>
        <v/>
      </c>
      <c r="H10" s="84" t="s">
        <v>944</v>
      </c>
      <c r="J10" s="577"/>
      <c r="L10" s="39"/>
      <c r="N10" s="39"/>
      <c r="P10" s="39"/>
      <c r="R10" s="404"/>
    </row>
    <row r="11" spans="1:19" s="38" customFormat="1" ht="35.4" customHeight="1" x14ac:dyDescent="0.3">
      <c r="A11" s="56"/>
      <c r="B11" s="385" t="s">
        <v>945</v>
      </c>
      <c r="D11" s="10" t="s">
        <v>58</v>
      </c>
      <c r="F11" s="10"/>
      <c r="H11" s="84" t="s">
        <v>946</v>
      </c>
      <c r="J11" s="578"/>
      <c r="L11" s="39"/>
      <c r="N11" s="39"/>
      <c r="P11" s="39"/>
      <c r="R11" s="404"/>
    </row>
    <row r="12" spans="1:19" s="168" customFormat="1" ht="34.5" customHeight="1" x14ac:dyDescent="0.35">
      <c r="A12" s="167"/>
      <c r="B12" s="196" t="s">
        <v>947</v>
      </c>
      <c r="D12" s="389" t="s">
        <v>948</v>
      </c>
      <c r="F12" s="388"/>
      <c r="H12" s="390" t="s">
        <v>949</v>
      </c>
      <c r="R12" s="176"/>
    </row>
  </sheetData>
  <mergeCells count="1">
    <mergeCell ref="J7:J11"/>
  </mergeCells>
  <pageMargins left="0.7" right="0.7" top="0.75" bottom="0.75" header="0.3" footer="0.3"/>
  <pageSetup paperSize="8" orientation="landscape" horizontalDpi="1200" verticalDpi="1200" r:id="rId1"/>
</worksheet>
</file>

<file path=xl/worksheets/sheet22.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0FF2C-68AF-534D-BA8F-3B07235A08DB}">
  <sheetPr codeName="Sheet22"/>
  <dimension ref="A1:S10"/>
  <sheetViews>
    <sheetView topLeftCell="E3" zoomScale="90" zoomScaleNormal="106" workbookViewId="0">
      <selection activeCell="M7" sqref="M7"/>
    </sheetView>
  </sheetViews>
  <sheetFormatPr defaultColWidth="10.5" defaultRowHeight="16.2" x14ac:dyDescent="0.35"/>
  <cols>
    <col min="1" max="1" width="17.5" style="166" customWidth="1"/>
    <col min="2" max="2" width="38" style="166" customWidth="1"/>
    <col min="3" max="3" width="3.3984375" style="166" customWidth="1"/>
    <col min="4" max="4" width="26" style="166" customWidth="1"/>
    <col min="5" max="5" width="3.3984375" style="166" customWidth="1"/>
    <col min="6" max="6" width="26" style="166" customWidth="1"/>
    <col min="7" max="7" width="3.3984375" style="166" customWidth="1"/>
    <col min="8" max="8" width="40.3984375" style="166" customWidth="1"/>
    <col min="9" max="9" width="3.3984375"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950</v>
      </c>
    </row>
    <row r="3" spans="1:19" s="40" customFormat="1" ht="105" x14ac:dyDescent="0.3">
      <c r="A3" s="206" t="s">
        <v>951</v>
      </c>
      <c r="B3" s="57" t="s">
        <v>952</v>
      </c>
      <c r="D3" s="10" t="s">
        <v>106</v>
      </c>
      <c r="F3" s="58"/>
      <c r="H3" s="58"/>
      <c r="J3" s="49"/>
      <c r="L3" s="39"/>
      <c r="N3" s="39"/>
      <c r="P3" s="39"/>
      <c r="R3" s="39"/>
    </row>
    <row r="4" spans="1:19" s="38" customFormat="1" ht="18.600000000000001" x14ac:dyDescent="0.3">
      <c r="A4" s="56"/>
      <c r="B4" s="47"/>
      <c r="D4" s="47"/>
      <c r="F4" s="47"/>
      <c r="H4" s="47"/>
      <c r="J4" s="48"/>
      <c r="L4" s="48"/>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8"/>
    </row>
    <row r="7" spans="1:19" s="9" customFormat="1" ht="30" x14ac:dyDescent="0.35">
      <c r="A7" s="14"/>
      <c r="B7" s="74" t="s">
        <v>953</v>
      </c>
      <c r="D7" s="344">
        <v>1.5</v>
      </c>
      <c r="E7" s="76"/>
      <c r="F7" s="10" t="str">
        <f>IF(D7=[2]Lists!$K$4,"&lt; Input URL to data source &gt;",IF(D7=[2]Lists!$K$5,"&lt; Reference section in EITI Report or URL &gt;",IF(D7=[2]Lists!$K$6,"&lt; Reference evidence of non-applicability &gt;","")))</f>
        <v/>
      </c>
      <c r="G7" s="38"/>
      <c r="H7" s="10" t="str">
        <f>IF(F7=[2]Lists!$K$4,"&lt; Input URL to data source &gt;",IF(F7=[2]Lists!$K$5,"&lt; Reference section in EITI Report or URL &gt;",IF(F7=[2]Lists!$K$6,"&lt; Reference evidence of non-applicability &gt;","")))</f>
        <v/>
      </c>
      <c r="I7" s="38"/>
      <c r="J7" s="576"/>
      <c r="K7" s="38"/>
      <c r="L7" s="399" t="s">
        <v>954</v>
      </c>
      <c r="M7" s="38"/>
      <c r="N7" s="404"/>
      <c r="O7" s="38"/>
      <c r="P7" s="39"/>
      <c r="Q7" s="38"/>
      <c r="R7" s="39"/>
      <c r="S7" s="38"/>
    </row>
    <row r="8" spans="1:19" s="76" customFormat="1" ht="41.4" x14ac:dyDescent="0.35">
      <c r="A8" s="75"/>
      <c r="B8" s="74" t="s">
        <v>955</v>
      </c>
      <c r="D8" s="10" t="s">
        <v>58</v>
      </c>
      <c r="F8" s="10" t="str">
        <f>IF(D8=[2]Lists!$K$4,"&lt; Input URL to data source &gt;",IF(D8=[2]Lists!$K$5,"&lt; Reference section in EITI Report or URL &gt;",IF(D8=[2]Lists!$K$6,"&lt; Reference evidence of non-applicability &gt;","")))</f>
        <v/>
      </c>
      <c r="H8" s="10" t="str">
        <f>IF(F8=[2]Lists!$K$4,"&lt; Input URL to data source &gt;",IF(F8=[2]Lists!$K$5,"&lt; Reference section in EITI Report or URL &gt;",IF(F8=[2]Lists!$K$6,"&lt; Reference evidence of non-applicability &gt;","")))</f>
        <v/>
      </c>
      <c r="J8" s="577"/>
      <c r="K8" s="77"/>
      <c r="L8" s="399" t="s">
        <v>956</v>
      </c>
      <c r="M8" s="77"/>
      <c r="N8" s="39"/>
      <c r="O8" s="77"/>
      <c r="P8" s="39"/>
      <c r="Q8" s="77"/>
      <c r="R8" s="39"/>
    </row>
    <row r="9" spans="1:19" s="76" customFormat="1" ht="39" customHeight="1" x14ac:dyDescent="0.35">
      <c r="A9" s="75"/>
      <c r="B9" s="78" t="s">
        <v>957</v>
      </c>
      <c r="D9" s="10" t="s">
        <v>326</v>
      </c>
      <c r="F9" s="10" t="str">
        <f>IF(D9=[2]Lists!$K$4,"&lt; Input URL to data source &gt;",IF(D9=[2]Lists!$K$5,"&lt; Reference section in EITI Report or URL &gt;",IF(D9=[2]Lists!$K$6,"&lt; Reference evidence of non-applicability &gt;","")))</f>
        <v/>
      </c>
      <c r="H9" s="84" t="s">
        <v>958</v>
      </c>
      <c r="J9" s="578"/>
      <c r="K9" s="77"/>
      <c r="L9" s="227"/>
      <c r="M9" s="77"/>
      <c r="N9" s="39"/>
      <c r="O9" s="77"/>
      <c r="P9" s="39"/>
      <c r="Q9" s="77"/>
      <c r="R9" s="39"/>
    </row>
    <row r="10" spans="1:19" s="168" customFormat="1" x14ac:dyDescent="0.35">
      <c r="A10" s="167"/>
    </row>
  </sheetData>
  <mergeCells count="1">
    <mergeCell ref="J7:J9"/>
  </mergeCells>
  <pageMargins left="0.7" right="0.7" top="0.75" bottom="0.75" header="0.3" footer="0.3"/>
  <pageSetup paperSize="8" orientation="landscape" horizontalDpi="1200" verticalDpi="1200" r:id="rId1"/>
  <drawing r:id="rId2"/>
  <mc:AlternateContent xmlns:mc="http://schemas.openxmlformats.org/markup-compatibility/2006">
    <mc:Choice Requires="v">
      <legacyDrawing r:id="rId3"/>
    </mc:Choice>
  </mc:AlternateContent>
</worksheet>
</file>

<file path=xl/worksheets/sheet2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A7FE8-2D15-A549-ADE3-B09430692E44}">
  <sheetPr codeName="Sheet23"/>
  <dimension ref="A1:S26"/>
  <sheetViews>
    <sheetView topLeftCell="I20" zoomScale="74" zoomScaleNormal="96" workbookViewId="0">
      <selection activeCell="R25" sqref="R25"/>
    </sheetView>
  </sheetViews>
  <sheetFormatPr defaultColWidth="10.5" defaultRowHeight="16.2" x14ac:dyDescent="0.35"/>
  <cols>
    <col min="1" max="1" width="22" style="166" customWidth="1"/>
    <col min="2" max="2" width="45.5" style="166" customWidth="1"/>
    <col min="3" max="3" width="3" style="166" customWidth="1"/>
    <col min="4" max="4" width="24.5" style="166" customWidth="1"/>
    <col min="5" max="5" width="3" style="166" customWidth="1"/>
    <col min="6" max="6" width="36.09765625" style="166" customWidth="1"/>
    <col min="7" max="7" width="3" style="166" customWidth="1"/>
    <col min="8" max="8" width="68.5" style="166" customWidth="1"/>
    <col min="9" max="9" width="3" style="166" customWidth="1"/>
    <col min="10" max="10" width="39.5" style="166" hidden="1" customWidth="1"/>
    <col min="11" max="11" width="3" style="166" customWidth="1"/>
    <col min="12" max="12" width="39.5" style="166" customWidth="1"/>
    <col min="13" max="13" width="3" style="166" customWidth="1"/>
    <col min="14" max="14" width="39.5" style="166" customWidth="1"/>
    <col min="15" max="15" width="3" style="166" customWidth="1"/>
    <col min="16" max="16" width="39.5" style="462" customWidth="1"/>
    <col min="17" max="17" width="3" style="166" customWidth="1"/>
    <col min="18" max="18" width="39.5" style="166" customWidth="1"/>
    <col min="19" max="19" width="3" style="166" customWidth="1"/>
    <col min="20" max="16384" width="10.5" style="166"/>
  </cols>
  <sheetData>
    <row r="1" spans="1:19" ht="24.6" x14ac:dyDescent="0.4">
      <c r="A1" s="165" t="s">
        <v>959</v>
      </c>
    </row>
    <row r="3" spans="1:19" s="40" customFormat="1" ht="165" x14ac:dyDescent="0.3">
      <c r="A3" s="206" t="s">
        <v>960</v>
      </c>
      <c r="B3" s="57" t="s">
        <v>961</v>
      </c>
      <c r="D3" s="10" t="s">
        <v>106</v>
      </c>
      <c r="F3" s="58"/>
      <c r="H3" s="58"/>
      <c r="J3" s="49"/>
      <c r="L3" s="39"/>
      <c r="N3" s="39"/>
      <c r="P3" s="404"/>
      <c r="R3" s="39"/>
    </row>
    <row r="4" spans="1:19" s="38" customFormat="1" ht="18.600000000000001" x14ac:dyDescent="0.3">
      <c r="A4" s="56"/>
      <c r="B4" s="47"/>
      <c r="D4" s="47"/>
      <c r="F4" s="47"/>
      <c r="H4" s="47"/>
      <c r="J4" s="48"/>
      <c r="L4" s="48"/>
      <c r="P4" s="463"/>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64"/>
      <c r="R6" s="48"/>
    </row>
    <row r="7" spans="1:19" s="9" customFormat="1" ht="60" x14ac:dyDescent="0.3">
      <c r="A7" s="14"/>
      <c r="B7" s="79" t="s">
        <v>962</v>
      </c>
      <c r="D7" s="10" t="s">
        <v>963</v>
      </c>
      <c r="F7" s="10" t="str">
        <f>IF(D7=[2]Lists!$K$4,"&lt; Input URL to data source &gt;",IF(D7=[2]Lists!$K$5,"&lt; Reference section in EITI Report or URL &gt;",IF(D7=[2]Lists!$K$6,"&lt; Reference evidence of non-applicability &gt;","")))</f>
        <v/>
      </c>
      <c r="G7" s="38"/>
      <c r="H7" s="84" t="s">
        <v>964</v>
      </c>
      <c r="I7" s="38"/>
      <c r="J7" s="576"/>
      <c r="K7" s="38"/>
      <c r="L7" s="39"/>
      <c r="M7" s="38"/>
      <c r="N7" s="39"/>
      <c r="O7" s="38"/>
      <c r="P7" s="404"/>
      <c r="Q7" s="38"/>
      <c r="R7" s="39"/>
      <c r="S7" s="38"/>
    </row>
    <row r="8" spans="1:19" s="9" customFormat="1" ht="289.8" x14ac:dyDescent="0.3">
      <c r="A8" s="14"/>
      <c r="B8" s="79" t="s">
        <v>965</v>
      </c>
      <c r="D8" s="10" t="s">
        <v>963</v>
      </c>
      <c r="F8" s="10" t="str">
        <f>IF(D8=[2]Lists!$K$4,"&lt; Input URL to data source &gt;",IF(D8=[2]Lists!$K$5,"&lt; Reference section in EITI Report or URL &gt;",IF(D8=[2]Lists!$K$6,"&lt; Reference evidence of non-applicability &gt;","")))</f>
        <v/>
      </c>
      <c r="G8" s="40"/>
      <c r="H8" s="84" t="s">
        <v>964</v>
      </c>
      <c r="I8" s="40"/>
      <c r="J8" s="577"/>
      <c r="K8" s="40"/>
      <c r="L8" s="400" t="s">
        <v>966</v>
      </c>
      <c r="M8" s="40"/>
      <c r="N8" s="431" t="s">
        <v>967</v>
      </c>
      <c r="O8" s="40"/>
      <c r="P8" s="404" t="s">
        <v>1251</v>
      </c>
      <c r="Q8" s="40"/>
      <c r="R8" s="39"/>
      <c r="S8" s="40"/>
    </row>
    <row r="9" spans="1:19" s="9" customFormat="1" ht="331.2" x14ac:dyDescent="0.3">
      <c r="A9" s="14"/>
      <c r="B9" s="79" t="s">
        <v>968</v>
      </c>
      <c r="D9" s="10" t="s">
        <v>204</v>
      </c>
      <c r="F9" s="10" t="str">
        <f>IF(D9=[2]Lists!$K$4,"&lt; Input URL to data source &gt;",IF(D9=[2]Lists!$K$5,"&lt; Reference section in EITI Report or URL &gt;",IF(D9=[2]Lists!$K$6,"&lt; Reference evidence of non-applicability &gt;","")))</f>
        <v/>
      </c>
      <c r="G9" s="38"/>
      <c r="H9" s="84"/>
      <c r="I9" s="38"/>
      <c r="J9" s="577"/>
      <c r="K9" s="38"/>
      <c r="L9" s="399" t="s">
        <v>969</v>
      </c>
      <c r="M9" s="38"/>
      <c r="N9" s="39"/>
      <c r="O9" s="38"/>
      <c r="P9" s="404" t="s">
        <v>1251</v>
      </c>
      <c r="Q9" s="38"/>
      <c r="R9" s="39"/>
      <c r="S9" s="38"/>
    </row>
    <row r="10" spans="1:19" s="9" customFormat="1" ht="15" x14ac:dyDescent="0.3">
      <c r="A10" s="14"/>
      <c r="B10" s="79" t="s">
        <v>970</v>
      </c>
      <c r="D10" s="10" t="s">
        <v>204</v>
      </c>
      <c r="F10" s="10" t="str">
        <f>IF(D10=[2]Lists!$K$4,"&lt; Input URL to data source &gt;",IF(D10=[2]Lists!$K$5,"&lt; Reference section in EITI Report or URL &gt;",IF(D10=[2]Lists!$K$6,"&lt; Reference evidence of non-applicability &gt;","")))</f>
        <v/>
      </c>
      <c r="G10" s="40"/>
      <c r="H10" s="84" t="str">
        <f>IF(F10=[2]Lists!$K$4,"&lt; Input URL to data source &gt;",IF(F10=[2]Lists!$K$5,"&lt; Reference section in EITI Report or URL &gt;",IF(F10=[2]Lists!$K$6,"&lt; Reference evidence of non-applicability &gt;","")))</f>
        <v/>
      </c>
      <c r="I10" s="40"/>
      <c r="J10" s="577"/>
      <c r="K10" s="40"/>
      <c r="L10" s="227" t="s">
        <v>971</v>
      </c>
      <c r="M10" s="40"/>
      <c r="N10" s="39"/>
      <c r="O10" s="40"/>
      <c r="P10" s="404"/>
      <c r="Q10" s="40"/>
      <c r="R10" s="39"/>
      <c r="S10" s="40"/>
    </row>
    <row r="11" spans="1:19" s="9" customFormat="1" ht="96.6" x14ac:dyDescent="0.3">
      <c r="A11" s="14"/>
      <c r="B11" s="79" t="s">
        <v>972</v>
      </c>
      <c r="D11" s="10" t="s">
        <v>963</v>
      </c>
      <c r="F11" s="10" t="str">
        <f>IF(D11=[2]Lists!$K$4,"&lt; Input URL to data source &gt;",IF(D11=[2]Lists!$K$5,"&lt; Reference section in EITI Report or URL &gt;",IF(D11=[2]Lists!$K$6,"&lt; Reference evidence of non-applicability &gt;","")))</f>
        <v/>
      </c>
      <c r="G11" s="38"/>
      <c r="H11" s="84" t="s">
        <v>973</v>
      </c>
      <c r="I11" s="38"/>
      <c r="J11" s="577"/>
      <c r="K11" s="38"/>
      <c r="L11" s="399" t="s">
        <v>974</v>
      </c>
      <c r="M11" s="38"/>
      <c r="N11" s="431" t="s">
        <v>975</v>
      </c>
      <c r="O11" s="38"/>
      <c r="P11" s="404" t="s">
        <v>1253</v>
      </c>
      <c r="Q11" s="38"/>
      <c r="R11" s="39"/>
      <c r="S11" s="38"/>
    </row>
    <row r="12" spans="1:19" s="9" customFormat="1" ht="24.9" customHeight="1" x14ac:dyDescent="0.35">
      <c r="A12" s="14"/>
      <c r="B12" s="79" t="s">
        <v>976</v>
      </c>
      <c r="D12" s="10" t="s">
        <v>963</v>
      </c>
      <c r="F12" s="10" t="str">
        <f>IF(D12=[2]Lists!$K$4,"&lt; Input URL to data source &gt;",IF(D12=[2]Lists!$K$5,"&lt; Reference section in EITI Report or URL &gt;",IF(D12=[2]Lists!$K$6,"&lt; Reference evidence of non-applicability &gt;","")))</f>
        <v/>
      </c>
      <c r="G12" s="169"/>
      <c r="H12" s="84" t="s">
        <v>973</v>
      </c>
      <c r="I12" s="169"/>
      <c r="J12" s="577"/>
      <c r="K12" s="169"/>
      <c r="L12" s="39"/>
      <c r="M12" s="169"/>
      <c r="N12" s="39"/>
      <c r="O12" s="169"/>
      <c r="P12" s="404"/>
      <c r="Q12" s="169"/>
      <c r="R12" s="39"/>
      <c r="S12" s="169"/>
    </row>
    <row r="13" spans="1:19" s="69" customFormat="1" ht="45" x14ac:dyDescent="0.35">
      <c r="A13" s="68"/>
      <c r="B13" s="80" t="s">
        <v>977</v>
      </c>
      <c r="D13" s="10" t="s">
        <v>963</v>
      </c>
      <c r="F13" s="71"/>
      <c r="G13" s="175"/>
      <c r="H13" s="380" t="s">
        <v>978</v>
      </c>
      <c r="I13" s="175"/>
      <c r="J13" s="577"/>
      <c r="K13" s="175"/>
      <c r="L13" s="72"/>
      <c r="M13" s="175"/>
      <c r="N13" s="72"/>
      <c r="O13" s="175"/>
      <c r="P13" s="444"/>
      <c r="Q13" s="175"/>
      <c r="R13" s="72"/>
      <c r="S13" s="175"/>
    </row>
    <row r="14" spans="1:19" s="69" customFormat="1" ht="69" x14ac:dyDescent="0.35">
      <c r="A14" s="68"/>
      <c r="B14" s="59" t="s">
        <v>979</v>
      </c>
      <c r="D14" s="10" t="s">
        <v>963</v>
      </c>
      <c r="F14" s="71"/>
      <c r="G14" s="175"/>
      <c r="H14" s="380" t="s">
        <v>978</v>
      </c>
      <c r="I14" s="175"/>
      <c r="J14" s="577"/>
      <c r="K14" s="175"/>
      <c r="L14" s="72"/>
      <c r="M14" s="175"/>
      <c r="N14" s="414" t="s">
        <v>980</v>
      </c>
      <c r="O14" s="175"/>
      <c r="P14" s="444" t="s">
        <v>1252</v>
      </c>
      <c r="Q14" s="175"/>
      <c r="R14" s="72"/>
      <c r="S14" s="175"/>
    </row>
    <row r="15" spans="1:19" s="69" customFormat="1" ht="110.4" x14ac:dyDescent="0.35">
      <c r="A15" s="68"/>
      <c r="B15" s="59" t="s">
        <v>981</v>
      </c>
      <c r="D15" s="10" t="s">
        <v>963</v>
      </c>
      <c r="F15" s="71"/>
      <c r="G15" s="175"/>
      <c r="H15" s="380" t="s">
        <v>973</v>
      </c>
      <c r="I15" s="175"/>
      <c r="J15" s="577"/>
      <c r="K15" s="175"/>
      <c r="L15" s="414" t="s">
        <v>982</v>
      </c>
      <c r="M15" s="175"/>
      <c r="N15" s="72"/>
      <c r="O15" s="175"/>
      <c r="P15" s="444" t="s">
        <v>1253</v>
      </c>
      <c r="Q15" s="175"/>
      <c r="R15" s="72"/>
      <c r="S15" s="175"/>
    </row>
    <row r="16" spans="1:19" s="69" customFormat="1" ht="108" customHeight="1" x14ac:dyDescent="0.35">
      <c r="A16" s="68"/>
      <c r="B16" s="59" t="s">
        <v>983</v>
      </c>
      <c r="D16" s="10" t="s">
        <v>963</v>
      </c>
      <c r="F16" s="71"/>
      <c r="G16" s="175"/>
      <c r="H16" s="380" t="s">
        <v>984</v>
      </c>
      <c r="I16" s="175"/>
      <c r="J16" s="577"/>
      <c r="K16" s="175"/>
      <c r="L16" s="414"/>
      <c r="M16" s="175"/>
      <c r="N16" s="415" t="s">
        <v>985</v>
      </c>
      <c r="O16" s="175"/>
      <c r="P16" s="444" t="s">
        <v>1254</v>
      </c>
      <c r="Q16" s="175"/>
      <c r="R16" s="72"/>
      <c r="S16" s="175"/>
    </row>
    <row r="17" spans="1:19" s="69" customFormat="1" ht="165.6" x14ac:dyDescent="0.35">
      <c r="A17" s="68"/>
      <c r="B17" s="59" t="s">
        <v>986</v>
      </c>
      <c r="D17" s="10" t="s">
        <v>963</v>
      </c>
      <c r="F17" s="71"/>
      <c r="G17" s="175"/>
      <c r="H17" s="380" t="s">
        <v>978</v>
      </c>
      <c r="I17" s="175"/>
      <c r="J17" s="577"/>
      <c r="K17" s="175"/>
      <c r="L17" s="414" t="s">
        <v>987</v>
      </c>
      <c r="M17" s="175"/>
      <c r="N17" s="415" t="s">
        <v>988</v>
      </c>
      <c r="O17" s="175"/>
      <c r="P17" s="444" t="s">
        <v>1255</v>
      </c>
      <c r="Q17" s="175"/>
      <c r="R17" s="72"/>
      <c r="S17" s="175"/>
    </row>
    <row r="18" spans="1:19" s="69" customFormat="1" ht="75" x14ac:dyDescent="0.35">
      <c r="A18" s="68"/>
      <c r="B18" s="59" t="s">
        <v>989</v>
      </c>
      <c r="D18" s="10" t="s">
        <v>963</v>
      </c>
      <c r="F18" s="71"/>
      <c r="G18" s="175"/>
      <c r="H18" s="380" t="s">
        <v>990</v>
      </c>
      <c r="I18" s="175"/>
      <c r="J18" s="577"/>
      <c r="K18" s="175"/>
      <c r="L18" s="414" t="s">
        <v>991</v>
      </c>
      <c r="M18" s="175"/>
      <c r="N18" s="72"/>
      <c r="O18" s="175"/>
      <c r="P18" s="444"/>
      <c r="Q18" s="175"/>
      <c r="R18" s="72"/>
      <c r="S18" s="175"/>
    </row>
    <row r="19" spans="1:19" s="69" customFormat="1" ht="60" x14ac:dyDescent="0.35">
      <c r="A19" s="68"/>
      <c r="B19" s="59" t="s">
        <v>992</v>
      </c>
      <c r="D19" s="10" t="s">
        <v>963</v>
      </c>
      <c r="F19" s="71"/>
      <c r="G19" s="175"/>
      <c r="H19" s="380" t="s">
        <v>973</v>
      </c>
      <c r="I19" s="175"/>
      <c r="J19" s="577"/>
      <c r="K19" s="175"/>
      <c r="L19" s="414" t="s">
        <v>993</v>
      </c>
      <c r="M19" s="175"/>
      <c r="N19" s="72"/>
      <c r="O19" s="175"/>
      <c r="P19" s="444"/>
      <c r="Q19" s="175"/>
      <c r="R19" s="72"/>
      <c r="S19" s="175"/>
    </row>
    <row r="20" spans="1:19" s="69" customFormat="1" ht="82.8" x14ac:dyDescent="0.35">
      <c r="A20" s="68"/>
      <c r="B20" s="59" t="s">
        <v>994</v>
      </c>
      <c r="D20" s="10" t="s">
        <v>963</v>
      </c>
      <c r="F20" s="71"/>
      <c r="G20" s="175"/>
      <c r="H20" s="71" t="s">
        <v>1256</v>
      </c>
      <c r="I20" s="175"/>
      <c r="J20" s="577"/>
      <c r="K20" s="175"/>
      <c r="L20" s="414" t="s">
        <v>995</v>
      </c>
      <c r="M20" s="175"/>
      <c r="N20" s="72"/>
      <c r="O20" s="175"/>
      <c r="P20" s="444"/>
      <c r="Q20" s="175"/>
      <c r="R20" s="72"/>
      <c r="S20" s="175"/>
    </row>
    <row r="21" spans="1:19" s="69" customFormat="1" ht="60" x14ac:dyDescent="0.35">
      <c r="A21" s="68"/>
      <c r="B21" s="80" t="s">
        <v>996</v>
      </c>
      <c r="D21" s="10" t="s">
        <v>997</v>
      </c>
      <c r="F21" s="391" t="s">
        <v>998</v>
      </c>
      <c r="G21" s="175"/>
      <c r="H21" s="71"/>
      <c r="I21" s="175"/>
      <c r="J21" s="577"/>
      <c r="K21" s="175"/>
      <c r="L21" s="72"/>
      <c r="M21" s="175"/>
      <c r="N21" s="414" t="s">
        <v>999</v>
      </c>
      <c r="O21" s="175"/>
      <c r="P21" s="444"/>
      <c r="Q21" s="175"/>
      <c r="R21" s="72"/>
      <c r="S21" s="175"/>
    </row>
    <row r="22" spans="1:19" s="69" customFormat="1" ht="45" x14ac:dyDescent="0.35">
      <c r="A22" s="68"/>
      <c r="B22" s="59" t="s">
        <v>1000</v>
      </c>
      <c r="D22" s="10" t="s">
        <v>82</v>
      </c>
      <c r="F22" s="71"/>
      <c r="G22" s="175"/>
      <c r="H22" s="71"/>
      <c r="I22" s="175"/>
      <c r="J22" s="577"/>
      <c r="K22" s="175"/>
      <c r="L22" s="72"/>
      <c r="M22" s="175"/>
      <c r="N22" s="72"/>
      <c r="O22" s="175"/>
      <c r="P22" s="444"/>
      <c r="Q22" s="175"/>
      <c r="R22" s="72"/>
      <c r="S22" s="175"/>
    </row>
    <row r="23" spans="1:19" s="69" customFormat="1" ht="30" x14ac:dyDescent="0.35">
      <c r="A23" s="68"/>
      <c r="B23" s="59" t="s">
        <v>1001</v>
      </c>
      <c r="D23" s="10" t="s">
        <v>963</v>
      </c>
      <c r="F23" s="71"/>
      <c r="G23" s="175"/>
      <c r="H23" s="71" t="s">
        <v>1002</v>
      </c>
      <c r="I23" s="175"/>
      <c r="J23" s="577"/>
      <c r="K23" s="175"/>
      <c r="L23" s="72"/>
      <c r="M23" s="175"/>
      <c r="N23" s="72"/>
      <c r="O23" s="175"/>
      <c r="P23" s="444"/>
      <c r="Q23" s="175"/>
      <c r="R23" s="72"/>
      <c r="S23" s="175"/>
    </row>
    <row r="24" spans="1:19" s="69" customFormat="1" ht="45" x14ac:dyDescent="0.35">
      <c r="A24" s="68"/>
      <c r="B24" s="59" t="s">
        <v>1003</v>
      </c>
      <c r="D24" s="10" t="s">
        <v>58</v>
      </c>
      <c r="F24" s="71"/>
      <c r="G24" s="175"/>
      <c r="H24" s="71" t="s">
        <v>984</v>
      </c>
      <c r="I24" s="175"/>
      <c r="J24" s="577"/>
      <c r="K24" s="175"/>
      <c r="L24" s="72"/>
      <c r="M24" s="175"/>
      <c r="N24" s="72"/>
      <c r="O24" s="175"/>
      <c r="P24" s="444"/>
      <c r="Q24" s="175"/>
      <c r="R24" s="72"/>
      <c r="S24" s="175"/>
    </row>
    <row r="25" spans="1:19" s="69" customFormat="1" ht="72" customHeight="1" x14ac:dyDescent="0.35">
      <c r="A25" s="68"/>
      <c r="B25" s="59" t="s">
        <v>1004</v>
      </c>
      <c r="D25" s="10" t="s">
        <v>82</v>
      </c>
      <c r="F25" s="71"/>
      <c r="G25" s="175"/>
      <c r="H25" s="71"/>
      <c r="I25" s="175"/>
      <c r="J25" s="578"/>
      <c r="K25" s="175"/>
      <c r="L25" s="72"/>
      <c r="M25" s="175"/>
      <c r="N25" s="72"/>
      <c r="O25" s="175"/>
      <c r="P25" s="444"/>
      <c r="Q25" s="175"/>
      <c r="R25" s="72"/>
      <c r="S25" s="175"/>
    </row>
    <row r="26" spans="1:19" s="168" customFormat="1" x14ac:dyDescent="0.35">
      <c r="A26" s="167"/>
      <c r="B26" s="176"/>
      <c r="P26" s="176"/>
    </row>
  </sheetData>
  <mergeCells count="1">
    <mergeCell ref="J7:J25"/>
  </mergeCells>
  <hyperlinks>
    <hyperlink ref="F21" r:id="rId1" xr:uid="{2E3BCF1A-5537-4072-B813-2700652C662F}"/>
  </hyperlinks>
  <pageMargins left="0.7" right="0.7" top="0.75" bottom="0.75" header="0.3" footer="0.3"/>
  <pageSetup paperSize="8" orientation="landscape" horizontalDpi="1200" verticalDpi="1200" r:id="rId2"/>
</worksheet>
</file>

<file path=xl/worksheets/sheet24.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B907A-FC08-B84C-958C-237D01DAB50B}">
  <sheetPr codeName="Sheet24"/>
  <dimension ref="A1:S15"/>
  <sheetViews>
    <sheetView topLeftCell="G10" zoomScale="70" zoomScaleNormal="70" workbookViewId="0">
      <selection activeCell="P13" sqref="P13"/>
    </sheetView>
  </sheetViews>
  <sheetFormatPr defaultColWidth="10.5" defaultRowHeight="16.2" x14ac:dyDescent="0.35"/>
  <cols>
    <col min="1" max="1" width="16" style="166" customWidth="1"/>
    <col min="2" max="2" width="46.3984375" style="166" customWidth="1"/>
    <col min="3" max="3" width="3.3984375" style="166" customWidth="1"/>
    <col min="4" max="4" width="25.8984375" style="166" customWidth="1"/>
    <col min="5" max="5" width="3.3984375" style="166" customWidth="1"/>
    <col min="6" max="6" width="32.8984375" style="166" customWidth="1"/>
    <col min="7" max="7" width="3.3984375" style="166" customWidth="1"/>
    <col min="8" max="8" width="28.59765625" style="166" customWidth="1"/>
    <col min="9" max="9" width="3.3984375"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1005</v>
      </c>
    </row>
    <row r="3" spans="1:19" s="40" customFormat="1" ht="90" x14ac:dyDescent="0.3">
      <c r="A3" s="206" t="s">
        <v>1006</v>
      </c>
      <c r="B3" s="57" t="s">
        <v>1007</v>
      </c>
      <c r="D3" s="10" t="s">
        <v>106</v>
      </c>
      <c r="F3" s="58"/>
      <c r="H3" s="58"/>
      <c r="J3" s="49"/>
      <c r="L3" s="39"/>
      <c r="N3" s="39"/>
      <c r="P3" s="39"/>
      <c r="R3" s="39"/>
    </row>
    <row r="4" spans="1:19" s="38" customFormat="1" ht="18.600000000000001" x14ac:dyDescent="0.3">
      <c r="A4" s="56"/>
      <c r="B4" s="47"/>
      <c r="D4" s="47"/>
      <c r="F4" s="47"/>
      <c r="H4" s="47"/>
      <c r="J4" s="48"/>
      <c r="L4" s="48"/>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8"/>
    </row>
    <row r="7" spans="1:19" s="9" customFormat="1" ht="110.4" x14ac:dyDescent="0.3">
      <c r="A7" s="14"/>
      <c r="B7" s="54" t="s">
        <v>1008</v>
      </c>
      <c r="D7" s="10" t="s">
        <v>181</v>
      </c>
      <c r="F7" s="243" t="s">
        <v>1009</v>
      </c>
      <c r="G7" s="38"/>
      <c r="H7" s="10" t="s">
        <v>1010</v>
      </c>
      <c r="I7" s="38"/>
      <c r="J7" s="576"/>
      <c r="K7" s="38"/>
      <c r="L7" s="416" t="s">
        <v>1011</v>
      </c>
      <c r="M7" s="38"/>
      <c r="N7" s="39"/>
      <c r="O7" s="38"/>
      <c r="P7" s="39"/>
      <c r="Q7" s="38"/>
      <c r="R7" s="39"/>
      <c r="S7" s="38"/>
    </row>
    <row r="8" spans="1:19" s="9" customFormat="1" ht="110.4" x14ac:dyDescent="0.3">
      <c r="A8" s="14"/>
      <c r="B8" s="59" t="s">
        <v>1012</v>
      </c>
      <c r="D8" s="10" t="s">
        <v>461</v>
      </c>
      <c r="F8" s="10"/>
      <c r="G8" s="38"/>
      <c r="H8" s="10"/>
      <c r="I8" s="38"/>
      <c r="J8" s="577"/>
      <c r="K8" s="38"/>
      <c r="L8" s="416" t="s">
        <v>1013</v>
      </c>
      <c r="M8" s="38"/>
      <c r="N8" s="399" t="s">
        <v>1014</v>
      </c>
      <c r="O8" s="38"/>
      <c r="P8" s="39" t="s">
        <v>1257</v>
      </c>
      <c r="Q8" s="38"/>
      <c r="R8" s="39"/>
      <c r="S8" s="38"/>
    </row>
    <row r="9" spans="1:19" s="9" customFormat="1" ht="69" x14ac:dyDescent="0.3">
      <c r="A9" s="14"/>
      <c r="B9" s="59" t="s">
        <v>1015</v>
      </c>
      <c r="D9" s="344" t="s">
        <v>1016</v>
      </c>
      <c r="F9" s="63" t="str">
        <f>IF(D9=[2]Lists!$K$4,"&lt; Input URL to data source &gt;",IF(D9=[2]Lists!$K$5,"&lt; Reference section in EITI Report &gt;",IF(D9=[2]Lists!$K$6,"&lt; Reference evidence of non-applicability &gt;","")))</f>
        <v/>
      </c>
      <c r="G9" s="40"/>
      <c r="H9" s="63" t="str">
        <f>IF(F9=[2]Lists!$K$4,"&lt; Input URL to data source &gt;",IF(F9=[2]Lists!$K$5,"&lt; Reference section in EITI Report &gt;",IF(F9=[2]Lists!$K$6,"&lt; Reference evidence of non-applicability &gt;","")))</f>
        <v/>
      </c>
      <c r="I9" s="40"/>
      <c r="J9" s="577"/>
      <c r="K9" s="40"/>
      <c r="L9" s="416" t="s">
        <v>1017</v>
      </c>
      <c r="M9" s="40"/>
      <c r="N9" s="39"/>
      <c r="O9" s="40"/>
      <c r="P9" s="39"/>
      <c r="Q9" s="40"/>
      <c r="R9" s="39"/>
      <c r="S9" s="40"/>
    </row>
    <row r="10" spans="1:19" s="9" customFormat="1" ht="104.25" customHeight="1" x14ac:dyDescent="0.3">
      <c r="A10" s="14"/>
      <c r="B10" s="59" t="s">
        <v>1018</v>
      </c>
      <c r="D10" s="10" t="s">
        <v>73</v>
      </c>
      <c r="F10" s="10"/>
      <c r="G10" s="38"/>
      <c r="H10" s="10" t="s">
        <v>1019</v>
      </c>
      <c r="I10" s="38"/>
      <c r="J10" s="577"/>
      <c r="K10" s="38"/>
      <c r="L10" s="417" t="s">
        <v>1020</v>
      </c>
      <c r="M10" s="38"/>
      <c r="N10" s="400" t="s">
        <v>1021</v>
      </c>
      <c r="O10" s="38"/>
      <c r="P10" s="460"/>
      <c r="Q10" s="38"/>
      <c r="R10" s="39"/>
      <c r="S10" s="38"/>
    </row>
    <row r="11" spans="1:19" s="9" customFormat="1" ht="72" customHeight="1" x14ac:dyDescent="0.3">
      <c r="A11" s="14"/>
      <c r="B11" s="59" t="s">
        <v>1022</v>
      </c>
      <c r="D11" s="10" t="s">
        <v>461</v>
      </c>
      <c r="F11" s="10"/>
      <c r="G11" s="38"/>
      <c r="H11" s="10"/>
      <c r="I11" s="38"/>
      <c r="J11" s="577"/>
      <c r="K11" s="38"/>
      <c r="L11" s="418" t="s">
        <v>1023</v>
      </c>
      <c r="M11" s="38"/>
      <c r="N11" s="227" t="s">
        <v>191</v>
      </c>
      <c r="O11" s="38"/>
      <c r="P11" s="39"/>
      <c r="Q11" s="38"/>
      <c r="R11" s="39"/>
      <c r="S11" s="38"/>
    </row>
    <row r="12" spans="1:19" s="9" customFormat="1" ht="75" x14ac:dyDescent="0.3">
      <c r="A12" s="14"/>
      <c r="B12" s="59" t="s">
        <v>1024</v>
      </c>
      <c r="D12" s="10" t="s">
        <v>461</v>
      </c>
      <c r="F12" s="10"/>
      <c r="G12" s="38"/>
      <c r="H12" s="10"/>
      <c r="I12" s="38"/>
      <c r="J12" s="577"/>
      <c r="K12" s="38"/>
      <c r="L12" s="227" t="s">
        <v>1025</v>
      </c>
      <c r="M12" s="38"/>
      <c r="N12" s="227" t="s">
        <v>1026</v>
      </c>
      <c r="O12" s="38"/>
      <c r="P12" s="39"/>
      <c r="Q12" s="38"/>
      <c r="R12" s="39"/>
      <c r="S12" s="38"/>
    </row>
    <row r="13" spans="1:19" s="9" customFormat="1" ht="96.6" x14ac:dyDescent="0.3">
      <c r="A13" s="14"/>
      <c r="B13" s="59" t="s">
        <v>1027</v>
      </c>
      <c r="D13" s="10" t="s">
        <v>73</v>
      </c>
      <c r="F13" s="10"/>
      <c r="G13" s="38"/>
      <c r="H13" s="10" t="s">
        <v>1028</v>
      </c>
      <c r="I13" s="38"/>
      <c r="J13" s="577"/>
      <c r="K13" s="38"/>
      <c r="L13" s="39"/>
      <c r="M13" s="38"/>
      <c r="N13" s="400" t="s">
        <v>1029</v>
      </c>
      <c r="O13" s="38"/>
      <c r="P13" s="39" t="s">
        <v>1211</v>
      </c>
      <c r="Q13" s="38"/>
      <c r="R13" s="39"/>
      <c r="S13" s="38"/>
    </row>
    <row r="14" spans="1:19" s="9" customFormat="1" ht="46.8" x14ac:dyDescent="0.3">
      <c r="A14" s="14"/>
      <c r="B14" s="54" t="s">
        <v>1030</v>
      </c>
      <c r="D14" s="10" t="s">
        <v>1031</v>
      </c>
      <c r="F14" s="375" t="s">
        <v>1032</v>
      </c>
      <c r="G14" s="38"/>
      <c r="H14" s="10" t="str">
        <f>IF(F14=[2]Lists!$K$4,"&lt; Input URL to data source &gt;",IF(F14=[2]Lists!$K$5,"&lt; Reference section in EITI Report or URL &gt;",IF(F14=[2]Lists!$K$6,"&lt; Reference evidence of non-applicability &gt;","")))</f>
        <v/>
      </c>
      <c r="I14" s="38"/>
      <c r="J14" s="578"/>
      <c r="K14" s="38"/>
      <c r="L14" s="39"/>
      <c r="M14" s="38"/>
      <c r="N14" s="39"/>
      <c r="O14" s="38"/>
      <c r="P14" s="39"/>
      <c r="Q14" s="38"/>
      <c r="R14" s="39"/>
      <c r="S14" s="38"/>
    </row>
    <row r="15" spans="1:19" s="168" customFormat="1" x14ac:dyDescent="0.35">
      <c r="A15" s="167"/>
    </row>
  </sheetData>
  <mergeCells count="1">
    <mergeCell ref="J7:J14"/>
  </mergeCells>
  <hyperlinks>
    <hyperlink ref="F7" r:id="rId1" xr:uid="{75519FD4-7E46-4836-97D9-EFA4535C77E5}"/>
    <hyperlink ref="F14" r:id="rId2" xr:uid="{6F8D86AD-6422-4D05-954E-2873E2D17F3F}"/>
  </hyperlinks>
  <pageMargins left="0.7" right="0.7" top="0.75" bottom="0.75" header="0.3" footer="0.3"/>
  <pageSetup paperSize="8" orientation="landscape" horizontalDpi="1200" verticalDpi="1200" r:id="rId3"/>
  <headerFooter>
    <oddHeader>&amp;C&amp;G</oddHeader>
  </headerFooter>
  <mc:AlternateContent xmlns:mc="http://schemas.openxmlformats.org/markup-compatibility/2006">
    <mc:Choice Requires="v">
      <legacyDrawingHF r:id="rId4"/>
    </mc:Choice>
    <mc:Fallback>
      <drawingHF r:id="rId5" cho="2"/>
    </mc:Fallback>
  </mc:AlternateContent>
</worksheet>
</file>

<file path=xl/worksheets/sheet25.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34223-E71A-8C42-884A-40C9768716A0}">
  <sheetPr codeName="Sheet25"/>
  <dimension ref="A1:T22"/>
  <sheetViews>
    <sheetView topLeftCell="G8" zoomScale="70" zoomScaleNormal="70" workbookViewId="0">
      <selection activeCell="P12" sqref="P12"/>
    </sheetView>
  </sheetViews>
  <sheetFormatPr defaultColWidth="10.5" defaultRowHeight="16.2" x14ac:dyDescent="0.35"/>
  <cols>
    <col min="1" max="1" width="18.3984375" style="171" customWidth="1"/>
    <col min="2" max="2" width="37.8984375" style="166" customWidth="1"/>
    <col min="3" max="3" width="3" style="166" customWidth="1"/>
    <col min="4" max="4" width="27" style="166" customWidth="1"/>
    <col min="5" max="5" width="3" style="166" customWidth="1"/>
    <col min="6" max="6" width="27" style="166" customWidth="1"/>
    <col min="7" max="7" width="3" style="166" customWidth="1"/>
    <col min="8" max="8" width="27"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462" customWidth="1"/>
    <col min="17" max="17" width="3" style="166" customWidth="1"/>
    <col min="18" max="18" width="39.5" style="166" customWidth="1"/>
    <col min="19" max="19" width="3" style="166" customWidth="1"/>
    <col min="20" max="16384" width="10.5" style="166"/>
  </cols>
  <sheetData>
    <row r="1" spans="1:19" ht="24.6" x14ac:dyDescent="0.4">
      <c r="A1" s="165" t="s">
        <v>1033</v>
      </c>
    </row>
    <row r="3" spans="1:19" s="40" customFormat="1" ht="90" x14ac:dyDescent="0.3">
      <c r="A3" s="206" t="s">
        <v>1034</v>
      </c>
      <c r="B3" s="57" t="s">
        <v>1035</v>
      </c>
      <c r="D3" s="10" t="s">
        <v>106</v>
      </c>
      <c r="F3" s="58"/>
      <c r="H3" s="58"/>
      <c r="J3" s="49"/>
      <c r="L3" s="39"/>
      <c r="N3" s="39"/>
      <c r="P3" s="404"/>
      <c r="R3" s="39"/>
    </row>
    <row r="4" spans="1:19" s="38" customFormat="1" ht="18.600000000000001" x14ac:dyDescent="0.3">
      <c r="A4" s="66"/>
      <c r="B4" s="47"/>
      <c r="D4" s="47"/>
      <c r="F4" s="47"/>
      <c r="H4" s="47"/>
      <c r="J4" s="48"/>
      <c r="L4" s="48"/>
      <c r="P4" s="463"/>
    </row>
    <row r="5" spans="1:19" s="53" customFormat="1" ht="74.400000000000006" x14ac:dyDescent="0.3">
      <c r="A5" s="65"/>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66"/>
      <c r="B6" s="47"/>
      <c r="D6" s="47"/>
      <c r="F6" s="47"/>
      <c r="H6" s="47"/>
      <c r="J6" s="48"/>
      <c r="L6" s="48"/>
      <c r="N6" s="48"/>
      <c r="P6" s="464"/>
      <c r="R6" s="48"/>
    </row>
    <row r="7" spans="1:19" s="40" customFormat="1" ht="30" x14ac:dyDescent="0.3">
      <c r="A7" s="206" t="s">
        <v>164</v>
      </c>
      <c r="B7" s="57" t="s">
        <v>1036</v>
      </c>
      <c r="D7" s="10" t="s">
        <v>58</v>
      </c>
      <c r="F7" s="58"/>
      <c r="H7" s="58"/>
      <c r="J7" s="49"/>
      <c r="L7" s="39"/>
      <c r="N7" s="39"/>
      <c r="P7" s="404"/>
      <c r="R7" s="39"/>
    </row>
    <row r="8" spans="1:19" s="38" customFormat="1" ht="18.600000000000001" x14ac:dyDescent="0.3">
      <c r="A8" s="66"/>
      <c r="B8" s="47"/>
      <c r="D8" s="47"/>
      <c r="F8" s="47"/>
      <c r="H8" s="47"/>
      <c r="J8" s="48"/>
      <c r="L8" s="48"/>
      <c r="N8" s="48"/>
      <c r="P8" s="464"/>
      <c r="R8" s="48"/>
    </row>
    <row r="9" spans="1:19" s="9" customFormat="1" ht="151.80000000000001" x14ac:dyDescent="0.3">
      <c r="A9" s="579" t="s">
        <v>1037</v>
      </c>
      <c r="B9" s="54" t="s">
        <v>1038</v>
      </c>
      <c r="D9" s="10" t="s">
        <v>350</v>
      </c>
      <c r="F9" s="10" t="str">
        <f>IF(D9=[2]Lists!$K$4,"&lt; Input URL to data source &gt;",IF(D9=[2]Lists!$K$5,"&lt; Reference section in EITI Report or URL &gt;",IF(D9=[2]Lists!$K$6,"&lt; Reference evidence of non-applicability &gt;","")))</f>
        <v/>
      </c>
      <c r="G9" s="38"/>
      <c r="H9" s="10" t="s">
        <v>1039</v>
      </c>
      <c r="I9" s="38"/>
      <c r="J9" s="576"/>
      <c r="K9" s="38"/>
      <c r="L9" s="416" t="s">
        <v>1040</v>
      </c>
      <c r="M9" s="38"/>
      <c r="N9" s="400" t="s">
        <v>1041</v>
      </c>
      <c r="O9" s="38"/>
      <c r="P9" s="404"/>
      <c r="Q9" s="38"/>
      <c r="R9" s="39"/>
      <c r="S9" s="38"/>
    </row>
    <row r="10" spans="1:19" s="9" customFormat="1" ht="124.2" x14ac:dyDescent="0.3">
      <c r="A10" s="580"/>
      <c r="B10" s="59" t="s">
        <v>1042</v>
      </c>
      <c r="D10" s="10" t="s">
        <v>82</v>
      </c>
      <c r="F10" s="10"/>
      <c r="G10" s="38"/>
      <c r="H10" s="10"/>
      <c r="I10" s="38"/>
      <c r="J10" s="577"/>
      <c r="K10" s="38"/>
      <c r="L10" s="416" t="s">
        <v>1043</v>
      </c>
      <c r="M10" s="38"/>
      <c r="N10" s="419" t="s">
        <v>1044</v>
      </c>
      <c r="O10" s="38"/>
      <c r="P10" s="404" t="s">
        <v>1258</v>
      </c>
      <c r="Q10" s="38"/>
      <c r="R10" s="39"/>
      <c r="S10" s="38"/>
    </row>
    <row r="11" spans="1:19" s="9" customFormat="1" ht="82.8" x14ac:dyDescent="0.3">
      <c r="A11" s="580"/>
      <c r="B11" s="59" t="s">
        <v>1045</v>
      </c>
      <c r="D11" s="10" t="s">
        <v>82</v>
      </c>
      <c r="F11" s="10"/>
      <c r="G11" s="40"/>
      <c r="H11" s="10"/>
      <c r="I11" s="40"/>
      <c r="J11" s="577"/>
      <c r="K11" s="40"/>
      <c r="L11" s="419" t="s">
        <v>259</v>
      </c>
      <c r="M11" s="40"/>
      <c r="N11" s="399" t="s">
        <v>1046</v>
      </c>
      <c r="O11" s="40"/>
      <c r="P11" s="404" t="s">
        <v>1259</v>
      </c>
      <c r="Q11" s="40"/>
      <c r="R11" s="39"/>
      <c r="S11" s="40"/>
    </row>
    <row r="12" spans="1:19" s="9" customFormat="1" ht="60" x14ac:dyDescent="0.3">
      <c r="A12" s="580"/>
      <c r="B12" s="59" t="s">
        <v>1047</v>
      </c>
      <c r="D12" s="10" t="s">
        <v>82</v>
      </c>
      <c r="F12" s="10"/>
      <c r="G12" s="40"/>
      <c r="H12" s="10"/>
      <c r="I12" s="40"/>
      <c r="J12" s="577"/>
      <c r="K12" s="40"/>
      <c r="L12" s="419" t="s">
        <v>259</v>
      </c>
      <c r="M12" s="40"/>
      <c r="N12" s="39"/>
      <c r="O12" s="40"/>
      <c r="P12" s="404"/>
      <c r="Q12" s="40"/>
      <c r="R12" s="39"/>
      <c r="S12" s="40"/>
    </row>
    <row r="13" spans="1:19" s="9" customFormat="1" x14ac:dyDescent="0.3">
      <c r="A13" s="173"/>
      <c r="B13" s="59"/>
      <c r="D13" s="28"/>
      <c r="F13" s="28"/>
      <c r="G13" s="40"/>
      <c r="H13" s="28"/>
      <c r="I13" s="40"/>
      <c r="K13" s="40"/>
      <c r="M13" s="40"/>
      <c r="O13" s="40"/>
      <c r="P13" s="466"/>
      <c r="Q13" s="40"/>
      <c r="S13" s="40"/>
    </row>
    <row r="14" spans="1:19" s="9" customFormat="1" ht="30" x14ac:dyDescent="0.3">
      <c r="A14" s="579" t="s">
        <v>1048</v>
      </c>
      <c r="B14" s="54" t="s">
        <v>1038</v>
      </c>
      <c r="D14" s="10" t="s">
        <v>350</v>
      </c>
      <c r="F14" s="10" t="str">
        <f>IF(D14=[2]Lists!$K$4,"&lt; Input URL to data source &gt;",IF(D14=[2]Lists!$K$5,"&lt; Reference section in EITI Report or URL &gt;",IF(D14=[2]Lists!$K$6,"&lt; Reference evidence of non-applicability &gt;","")))</f>
        <v/>
      </c>
      <c r="G14" s="38"/>
      <c r="H14" s="10" t="s">
        <v>1049</v>
      </c>
      <c r="I14" s="38"/>
      <c r="J14" s="576"/>
      <c r="K14" s="38"/>
      <c r="L14" s="39"/>
      <c r="M14" s="38"/>
      <c r="N14" s="39"/>
      <c r="O14" s="38"/>
      <c r="P14" s="404"/>
      <c r="Q14" s="38"/>
      <c r="R14" s="39"/>
      <c r="S14" s="38"/>
    </row>
    <row r="15" spans="1:19" s="9" customFormat="1" ht="30" x14ac:dyDescent="0.3">
      <c r="A15" s="580"/>
      <c r="B15" s="59" t="s">
        <v>1042</v>
      </c>
      <c r="D15" s="10" t="s">
        <v>82</v>
      </c>
      <c r="F15" s="10"/>
      <c r="G15" s="38"/>
      <c r="H15" s="10"/>
      <c r="I15" s="38"/>
      <c r="J15" s="577"/>
      <c r="K15" s="38"/>
      <c r="L15" s="39"/>
      <c r="M15" s="38"/>
      <c r="N15" s="39"/>
      <c r="O15" s="38"/>
      <c r="P15" s="404"/>
      <c r="Q15" s="38"/>
      <c r="R15" s="39"/>
      <c r="S15" s="38"/>
    </row>
    <row r="16" spans="1:19" s="9" customFormat="1" ht="75" x14ac:dyDescent="0.3">
      <c r="A16" s="580"/>
      <c r="B16" s="59" t="s">
        <v>1045</v>
      </c>
      <c r="D16" s="10" t="s">
        <v>82</v>
      </c>
      <c r="F16" s="10"/>
      <c r="G16" s="40"/>
      <c r="H16" s="10"/>
      <c r="I16" s="40"/>
      <c r="J16" s="577"/>
      <c r="K16" s="40"/>
      <c r="L16" s="39"/>
      <c r="M16" s="40"/>
      <c r="N16" s="39"/>
      <c r="O16" s="40"/>
      <c r="P16" s="404"/>
      <c r="Q16" s="40"/>
      <c r="R16" s="39"/>
      <c r="S16" s="40"/>
    </row>
    <row r="17" spans="1:20" s="9" customFormat="1" ht="60" x14ac:dyDescent="0.3">
      <c r="A17" s="580"/>
      <c r="B17" s="59" t="s">
        <v>1047</v>
      </c>
      <c r="D17" s="10" t="s">
        <v>82</v>
      </c>
      <c r="F17" s="10"/>
      <c r="G17" s="40"/>
      <c r="H17" s="10"/>
      <c r="I17" s="40"/>
      <c r="J17" s="577"/>
      <c r="K17" s="40"/>
      <c r="L17" s="39"/>
      <c r="M17" s="40"/>
      <c r="N17" s="39"/>
      <c r="O17" s="40"/>
      <c r="P17" s="404"/>
      <c r="Q17" s="40"/>
      <c r="R17" s="39"/>
      <c r="S17" s="40"/>
    </row>
    <row r="18" spans="1:20" s="9" customFormat="1" x14ac:dyDescent="0.3">
      <c r="A18" s="173"/>
      <c r="B18" s="59"/>
      <c r="D18" s="28"/>
      <c r="F18" s="28"/>
      <c r="G18" s="40"/>
      <c r="H18" s="28"/>
      <c r="I18" s="40"/>
      <c r="K18" s="40"/>
      <c r="M18" s="40"/>
      <c r="O18" s="40"/>
      <c r="P18" s="466"/>
      <c r="Q18" s="40"/>
      <c r="S18" s="40"/>
    </row>
    <row r="19" spans="1:20" s="169" customFormat="1" ht="60" x14ac:dyDescent="0.35">
      <c r="A19" s="174"/>
      <c r="B19" s="54" t="s">
        <v>1050</v>
      </c>
      <c r="D19" s="10" t="s">
        <v>82</v>
      </c>
      <c r="E19" s="9"/>
      <c r="F19" s="10"/>
      <c r="G19" s="38"/>
      <c r="H19" s="10"/>
      <c r="I19" s="38"/>
      <c r="J19" s="576"/>
      <c r="K19" s="38"/>
      <c r="L19" s="39"/>
      <c r="M19" s="38"/>
      <c r="N19" s="39"/>
      <c r="O19" s="38"/>
      <c r="P19" s="404"/>
      <c r="Q19" s="38"/>
      <c r="R19" s="39"/>
      <c r="S19" s="38"/>
      <c r="T19" s="9"/>
    </row>
    <row r="20" spans="1:20" s="169" customFormat="1" ht="75" x14ac:dyDescent="0.35">
      <c r="A20" s="174"/>
      <c r="B20" s="54" t="s">
        <v>1051</v>
      </c>
      <c r="D20" s="10" t="s">
        <v>82</v>
      </c>
      <c r="E20" s="9"/>
      <c r="F20" s="10"/>
      <c r="G20" s="38"/>
      <c r="H20" s="10"/>
      <c r="I20" s="38"/>
      <c r="J20" s="577"/>
      <c r="K20" s="38"/>
      <c r="L20" s="39"/>
      <c r="M20" s="38"/>
      <c r="N20" s="39"/>
      <c r="O20" s="38"/>
      <c r="P20" s="404"/>
      <c r="Q20" s="38"/>
      <c r="R20" s="39"/>
      <c r="S20" s="38"/>
      <c r="T20" s="9"/>
    </row>
    <row r="21" spans="1:20" s="169" customFormat="1" ht="150" x14ac:dyDescent="0.35">
      <c r="A21" s="174"/>
      <c r="B21" s="54" t="s">
        <v>1052</v>
      </c>
      <c r="D21" s="10" t="s">
        <v>1053</v>
      </c>
      <c r="E21" s="9"/>
      <c r="F21" s="375" t="s">
        <v>929</v>
      </c>
      <c r="G21" s="38"/>
      <c r="H21" s="10" t="s">
        <v>1054</v>
      </c>
      <c r="I21" s="38"/>
      <c r="J21" s="578"/>
      <c r="K21" s="38"/>
      <c r="L21" s="39"/>
      <c r="M21" s="38"/>
      <c r="N21" s="39"/>
      <c r="O21" s="38"/>
      <c r="P21" s="404"/>
      <c r="Q21" s="38"/>
      <c r="R21" s="39"/>
      <c r="S21" s="38"/>
      <c r="T21" s="9"/>
    </row>
    <row r="22" spans="1:20" s="168" customFormat="1" x14ac:dyDescent="0.35">
      <c r="A22" s="170"/>
      <c r="P22" s="176"/>
    </row>
  </sheetData>
  <mergeCells count="5">
    <mergeCell ref="A9:A12"/>
    <mergeCell ref="J9:J12"/>
    <mergeCell ref="J19:J21"/>
    <mergeCell ref="A14:A17"/>
    <mergeCell ref="J14:J17"/>
  </mergeCells>
  <hyperlinks>
    <hyperlink ref="F21" r:id="rId1" xr:uid="{AC3F8708-A93E-44DD-8CF3-09543C6EE938}"/>
  </hyperlinks>
  <pageMargins left="0.7" right="0.7" top="0.75" bottom="0.75" header="0.3" footer="0.3"/>
  <pageSetup paperSize="8" orientation="landscape" horizontalDpi="1200" verticalDpi="1200" r:id="rId2"/>
  <headerFooter>
    <oddHeader>&amp;C&amp;G</oddHeader>
  </headerFooter>
  <mc:AlternateContent xmlns:mc="http://schemas.openxmlformats.org/markup-compatibility/2006">
    <mc:Choice Requires="v">
      <legacyDrawingHF r:id="rId3"/>
    </mc:Choice>
    <mc:Fallback>
      <drawingHF r:id="rId4" cho="2"/>
    </mc:Fallback>
  </mc:AlternateContent>
</worksheet>
</file>

<file path=xl/worksheets/sheet26.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0A974-0E35-0241-AE5B-53AF5DF9F28D}">
  <sheetPr codeName="Sheet26"/>
  <dimension ref="A1:S12"/>
  <sheetViews>
    <sheetView topLeftCell="G8" zoomScale="79" zoomScaleNormal="100" workbookViewId="0">
      <selection activeCell="P7" sqref="P7"/>
    </sheetView>
  </sheetViews>
  <sheetFormatPr defaultColWidth="10.5" defaultRowHeight="16.2" x14ac:dyDescent="0.35"/>
  <cols>
    <col min="1" max="1" width="13.5" style="166" customWidth="1"/>
    <col min="2" max="2" width="37" style="166" customWidth="1"/>
    <col min="3" max="3" width="2.8984375" style="166" customWidth="1"/>
    <col min="4" max="4" width="22" style="166" customWidth="1"/>
    <col min="5" max="5" width="2.8984375" style="166" customWidth="1"/>
    <col min="6" max="6" width="29" style="166" customWidth="1"/>
    <col min="7" max="7" width="2.8984375" style="166" customWidth="1"/>
    <col min="8" max="8" width="22" style="166" customWidth="1"/>
    <col min="9" max="9" width="2.8984375"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1055</v>
      </c>
    </row>
    <row r="3" spans="1:19" s="40" customFormat="1" ht="120" x14ac:dyDescent="0.3">
      <c r="A3" s="206" t="s">
        <v>1056</v>
      </c>
      <c r="B3" s="57" t="s">
        <v>1057</v>
      </c>
      <c r="D3" s="10" t="s">
        <v>106</v>
      </c>
      <c r="F3" s="58"/>
      <c r="H3" s="58"/>
      <c r="J3" s="49"/>
      <c r="L3" s="39"/>
      <c r="N3" s="39"/>
      <c r="P3" s="39"/>
      <c r="R3" s="39"/>
    </row>
    <row r="4" spans="1:19" s="38" customFormat="1" ht="18.600000000000001" x14ac:dyDescent="0.3">
      <c r="A4" s="56"/>
      <c r="B4" s="47"/>
      <c r="D4" s="47"/>
      <c r="F4" s="47"/>
      <c r="H4" s="47"/>
      <c r="J4" s="48"/>
      <c r="L4" s="48"/>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8"/>
    </row>
    <row r="7" spans="1:19" s="9" customFormat="1" ht="300" x14ac:dyDescent="0.3">
      <c r="A7" s="14"/>
      <c r="B7" s="54" t="s">
        <v>1058</v>
      </c>
      <c r="D7" s="10" t="s">
        <v>1059</v>
      </c>
      <c r="F7" s="437"/>
      <c r="G7" s="77"/>
      <c r="H7" s="10" t="s">
        <v>1060</v>
      </c>
      <c r="I7" s="77"/>
      <c r="J7" s="576"/>
      <c r="K7" s="77"/>
      <c r="L7" s="404" t="s">
        <v>1061</v>
      </c>
      <c r="M7" s="77"/>
      <c r="N7" s="408" t="s">
        <v>1062</v>
      </c>
      <c r="O7" s="77"/>
      <c r="P7" s="404" t="s">
        <v>1182</v>
      </c>
      <c r="Q7" s="77"/>
      <c r="R7" s="39"/>
      <c r="S7" s="77"/>
    </row>
    <row r="8" spans="1:19" s="9" customFormat="1" ht="90" x14ac:dyDescent="0.3">
      <c r="A8" s="14"/>
      <c r="B8" s="54" t="s">
        <v>1063</v>
      </c>
      <c r="D8" s="10" t="s">
        <v>1064</v>
      </c>
      <c r="F8" s="378" t="s">
        <v>1065</v>
      </c>
      <c r="G8" s="40"/>
      <c r="H8" s="10"/>
      <c r="I8" s="40"/>
      <c r="J8" s="581"/>
      <c r="K8" s="420"/>
      <c r="L8" s="433" t="s">
        <v>1066</v>
      </c>
      <c r="M8" s="40"/>
      <c r="N8" s="434"/>
      <c r="O8" s="40"/>
      <c r="P8" s="39"/>
      <c r="Q8" s="40"/>
      <c r="R8" s="39"/>
      <c r="S8" s="40"/>
    </row>
    <row r="9" spans="1:19" s="69" customFormat="1" ht="53.25" customHeight="1" x14ac:dyDescent="0.3">
      <c r="A9" s="68"/>
      <c r="B9" s="583" t="s">
        <v>1067</v>
      </c>
      <c r="D9" s="573" t="s">
        <v>1068</v>
      </c>
      <c r="F9" s="438" t="s">
        <v>1069</v>
      </c>
      <c r="G9" s="70"/>
      <c r="H9" s="71"/>
      <c r="I9" s="70"/>
      <c r="J9" s="581"/>
      <c r="K9" s="70"/>
      <c r="L9" s="435" t="s">
        <v>1070</v>
      </c>
      <c r="M9" s="70"/>
      <c r="N9" s="72"/>
      <c r="O9" s="70"/>
      <c r="P9" s="72"/>
      <c r="Q9" s="70"/>
      <c r="R9" s="72"/>
      <c r="S9" s="70"/>
    </row>
    <row r="10" spans="1:19" s="69" customFormat="1" ht="63.75" customHeight="1" x14ac:dyDescent="0.3">
      <c r="A10" s="68"/>
      <c r="B10" s="584"/>
      <c r="D10" s="574"/>
      <c r="F10" s="438" t="s">
        <v>1065</v>
      </c>
      <c r="G10" s="70"/>
      <c r="H10" s="71"/>
      <c r="I10" s="70"/>
      <c r="J10" s="581"/>
      <c r="K10" s="70"/>
      <c r="L10" s="72"/>
      <c r="M10" s="70"/>
      <c r="N10" s="72"/>
      <c r="O10" s="70"/>
      <c r="P10" s="72"/>
      <c r="Q10" s="70"/>
      <c r="R10" s="72"/>
      <c r="S10" s="70"/>
    </row>
    <row r="11" spans="1:19" s="11" customFormat="1" ht="83.25" customHeight="1" x14ac:dyDescent="0.3">
      <c r="A11" s="15"/>
      <c r="B11" s="585"/>
      <c r="D11" s="586"/>
      <c r="F11" s="438" t="s">
        <v>1065</v>
      </c>
      <c r="G11" s="436"/>
      <c r="H11" s="12"/>
      <c r="I11" s="436"/>
      <c r="J11" s="582"/>
      <c r="K11" s="436"/>
      <c r="L11" s="41"/>
      <c r="M11" s="436"/>
      <c r="N11" s="41"/>
      <c r="O11" s="436"/>
      <c r="P11" s="41"/>
      <c r="Q11" s="436"/>
      <c r="R11" s="41"/>
      <c r="S11" s="436"/>
    </row>
    <row r="12" spans="1:19" s="439" customFormat="1" ht="15" x14ac:dyDescent="0.35"/>
  </sheetData>
  <mergeCells count="3">
    <mergeCell ref="J7:J11"/>
    <mergeCell ref="B9:B11"/>
    <mergeCell ref="D9:D11"/>
  </mergeCells>
  <hyperlinks>
    <hyperlink ref="F9" r:id="rId1" xr:uid="{FF11D29F-9E52-4694-A9E9-F886BEB3B22D}"/>
    <hyperlink ref="F11" r:id="rId2" xr:uid="{89935149-F5F7-4DBC-B6B0-8B0B65DE2F2E}"/>
    <hyperlink ref="F10" r:id="rId3" xr:uid="{7DB4592D-4AB4-434F-86C2-C58F480F1DAB}"/>
    <hyperlink ref="F8" r:id="rId4" xr:uid="{4998FE1F-FC16-4649-9FDE-C8D03C52FFE2}"/>
  </hyperlinks>
  <pageMargins left="0.7" right="0.7" top="0.75" bottom="0.75" header="0.3" footer="0.3"/>
  <pageSetup paperSize="8" orientation="landscape" horizontalDpi="1200" verticalDpi="1200" r:id="rId5"/>
  <headerFooter>
    <oddHeader>&amp;C&amp;G</oddHeader>
  </headerFooter>
  <mc:AlternateContent xmlns:mc="http://schemas.openxmlformats.org/markup-compatibility/2006">
    <mc:Choice Requires="v">
      <legacyDrawingHF r:id="rId6"/>
    </mc:Choice>
    <mc:Fallback>
      <drawingHF r:id="rId7" cho="2"/>
    </mc:Fallback>
  </mc:AlternateContent>
</worksheet>
</file>

<file path=xl/worksheets/sheet27.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4291F-ED6C-1547-B7F8-DF68263CED89}">
  <sheetPr codeName="Sheet27"/>
  <dimension ref="A1:S23"/>
  <sheetViews>
    <sheetView topLeftCell="I18" zoomScale="98" zoomScaleNormal="98" workbookViewId="0">
      <selection activeCell="L20" sqref="L20"/>
    </sheetView>
  </sheetViews>
  <sheetFormatPr defaultColWidth="10.5" defaultRowHeight="16.2" x14ac:dyDescent="0.35"/>
  <cols>
    <col min="1" max="1" width="15.5" style="166" customWidth="1"/>
    <col min="2" max="2" width="41.5" style="166" customWidth="1"/>
    <col min="3" max="3" width="3" style="166" customWidth="1"/>
    <col min="4" max="4" width="23.5" style="166" customWidth="1"/>
    <col min="5" max="5" width="3" style="166" customWidth="1"/>
    <col min="6" max="6" width="23.5" style="166" customWidth="1"/>
    <col min="7" max="7" width="3" style="166" customWidth="1"/>
    <col min="8" max="8" width="31.59765625"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220" customWidth="1"/>
    <col min="17" max="17" width="3" style="166" customWidth="1"/>
    <col min="18" max="18" width="39.5" style="166" customWidth="1"/>
    <col min="19" max="19" width="3" style="166" customWidth="1"/>
    <col min="20" max="16384" width="10.5" style="166"/>
  </cols>
  <sheetData>
    <row r="1" spans="1:19" ht="24.6" x14ac:dyDescent="0.4">
      <c r="A1" s="165" t="s">
        <v>1071</v>
      </c>
    </row>
    <row r="3" spans="1:19" s="40" customFormat="1" ht="120" x14ac:dyDescent="0.3">
      <c r="A3" s="206" t="s">
        <v>1072</v>
      </c>
      <c r="B3" s="57" t="s">
        <v>1073</v>
      </c>
      <c r="D3" s="10" t="s">
        <v>106</v>
      </c>
      <c r="F3" s="58"/>
      <c r="H3" s="58"/>
      <c r="J3" s="49"/>
      <c r="L3" s="39"/>
      <c r="N3" s="39"/>
      <c r="P3" s="227"/>
      <c r="R3" s="39"/>
    </row>
    <row r="4" spans="1:19" s="38" customFormat="1" ht="18.600000000000001" x14ac:dyDescent="0.3">
      <c r="A4" s="56"/>
      <c r="B4" s="47"/>
      <c r="D4" s="47"/>
      <c r="F4" s="47"/>
      <c r="H4" s="47"/>
      <c r="J4" s="48"/>
      <c r="L4" s="48"/>
      <c r="P4" s="238"/>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235" t="s">
        <v>114</v>
      </c>
      <c r="Q5" s="45"/>
      <c r="R5" s="46" t="s">
        <v>115</v>
      </c>
      <c r="S5" s="45"/>
    </row>
    <row r="6" spans="1:19" s="38" customFormat="1" ht="18.600000000000001" x14ac:dyDescent="0.3">
      <c r="A6" s="56"/>
      <c r="B6" s="47"/>
      <c r="D6" s="47"/>
      <c r="F6" s="47"/>
      <c r="H6" s="47"/>
      <c r="J6" s="48"/>
      <c r="L6" s="48"/>
      <c r="N6" s="48"/>
      <c r="P6" s="239"/>
      <c r="R6" s="48"/>
    </row>
    <row r="7" spans="1:19" s="40" customFormat="1" ht="30" x14ac:dyDescent="0.3">
      <c r="A7" s="206" t="s">
        <v>164</v>
      </c>
      <c r="B7" s="57" t="s">
        <v>1074</v>
      </c>
      <c r="D7" s="10" t="s">
        <v>58</v>
      </c>
      <c r="F7" s="58"/>
      <c r="H7" s="58"/>
      <c r="J7" s="49"/>
      <c r="L7" s="39"/>
      <c r="M7" s="38"/>
      <c r="N7" s="39"/>
      <c r="O7" s="38"/>
      <c r="P7" s="227"/>
      <c r="Q7" s="38"/>
      <c r="R7" s="39"/>
    </row>
    <row r="8" spans="1:19" s="38" customFormat="1" ht="18.600000000000001" x14ac:dyDescent="0.3">
      <c r="A8" s="56"/>
      <c r="B8" s="47"/>
      <c r="D8" s="47"/>
      <c r="F8" s="47"/>
      <c r="H8" s="47"/>
      <c r="J8" s="48"/>
      <c r="L8" s="48"/>
      <c r="N8" s="48"/>
      <c r="P8" s="239"/>
      <c r="R8" s="48"/>
    </row>
    <row r="9" spans="1:19" s="9" customFormat="1" ht="165.6" x14ac:dyDescent="0.3">
      <c r="A9" s="587" t="s">
        <v>1075</v>
      </c>
      <c r="B9" s="54" t="s">
        <v>1076</v>
      </c>
      <c r="D9" s="344" t="s">
        <v>1077</v>
      </c>
      <c r="F9" s="10"/>
      <c r="G9" s="38"/>
      <c r="H9" s="10" t="s">
        <v>1205</v>
      </c>
      <c r="I9" s="38"/>
      <c r="J9" s="576"/>
      <c r="K9" s="38"/>
      <c r="L9" s="422" t="s">
        <v>1079</v>
      </c>
      <c r="M9" s="38"/>
      <c r="N9" s="431" t="s">
        <v>1080</v>
      </c>
      <c r="O9" s="38"/>
      <c r="P9" s="467" t="s">
        <v>1260</v>
      </c>
      <c r="Q9" s="38"/>
      <c r="R9" s="39"/>
      <c r="S9" s="38"/>
    </row>
    <row r="10" spans="1:19" s="9" customFormat="1" ht="183" customHeight="1" x14ac:dyDescent="0.3">
      <c r="A10" s="588"/>
      <c r="B10" s="59" t="s">
        <v>1081</v>
      </c>
      <c r="D10" s="449" t="s">
        <v>1209</v>
      </c>
      <c r="F10" s="10"/>
      <c r="G10" s="40"/>
      <c r="H10" s="10"/>
      <c r="I10" s="40"/>
      <c r="J10" s="577"/>
      <c r="K10" s="40"/>
      <c r="L10" s="428" t="s">
        <v>1082</v>
      </c>
      <c r="M10" s="40"/>
      <c r="N10" s="400" t="s">
        <v>1083</v>
      </c>
      <c r="O10" s="40"/>
      <c r="P10" s="227"/>
      <c r="Q10" s="40"/>
      <c r="R10" s="39"/>
      <c r="S10" s="40"/>
    </row>
    <row r="11" spans="1:19" s="9" customFormat="1" ht="30" x14ac:dyDescent="0.35">
      <c r="A11" s="588"/>
      <c r="B11" s="59" t="s">
        <v>1084</v>
      </c>
      <c r="D11" s="450" t="s">
        <v>1208</v>
      </c>
      <c r="F11" s="10"/>
      <c r="G11" s="38"/>
      <c r="H11" s="10" t="s">
        <v>1201</v>
      </c>
      <c r="I11" s="38"/>
      <c r="J11" s="577"/>
      <c r="K11" s="38"/>
      <c r="L11" s="423"/>
      <c r="M11" s="38"/>
      <c r="N11" s="400" t="s">
        <v>1085</v>
      </c>
      <c r="O11" s="38"/>
      <c r="P11" s="399" t="s">
        <v>1210</v>
      </c>
      <c r="Q11" s="38"/>
      <c r="R11" s="39"/>
      <c r="S11" s="38"/>
    </row>
    <row r="12" spans="1:19" s="9" customFormat="1" ht="105" x14ac:dyDescent="0.3">
      <c r="A12" s="588"/>
      <c r="B12" s="59" t="s">
        <v>1086</v>
      </c>
      <c r="D12" s="344" t="s">
        <v>1087</v>
      </c>
      <c r="F12" s="10"/>
      <c r="G12" s="38"/>
      <c r="H12" s="10" t="s">
        <v>1204</v>
      </c>
      <c r="I12" s="38"/>
      <c r="J12" s="577"/>
      <c r="K12" s="38"/>
      <c r="L12" s="423" t="s">
        <v>1088</v>
      </c>
      <c r="M12" s="38"/>
      <c r="N12" s="39"/>
      <c r="O12" s="38"/>
      <c r="P12" s="227" t="s">
        <v>1261</v>
      </c>
      <c r="Q12" s="38"/>
      <c r="R12" s="39"/>
      <c r="S12" s="38"/>
    </row>
    <row r="13" spans="1:19" s="9" customFormat="1" ht="60" x14ac:dyDescent="0.35">
      <c r="A13" s="588"/>
      <c r="B13" s="59" t="s">
        <v>1089</v>
      </c>
      <c r="D13" s="344" t="s">
        <v>58</v>
      </c>
      <c r="F13" s="10"/>
      <c r="G13" s="169"/>
      <c r="H13" s="10" t="s">
        <v>1202</v>
      </c>
      <c r="I13" s="169"/>
      <c r="J13" s="577"/>
      <c r="K13" s="169"/>
      <c r="L13" s="423" t="s">
        <v>1090</v>
      </c>
      <c r="M13" s="169"/>
      <c r="N13" s="39"/>
      <c r="O13" s="169"/>
      <c r="P13" s="227" t="s">
        <v>1261</v>
      </c>
      <c r="Q13" s="169"/>
      <c r="R13" s="39"/>
      <c r="S13" s="169"/>
    </row>
    <row r="14" spans="1:19" s="9" customFormat="1" ht="30" x14ac:dyDescent="0.3">
      <c r="A14" s="588"/>
      <c r="B14" s="54" t="s">
        <v>1091</v>
      </c>
      <c r="D14" s="344" t="s">
        <v>1092</v>
      </c>
      <c r="F14" s="63" t="str">
        <f>IF(D14=[2]Lists!$K$4,"&lt; Input URL to data source &gt;",IF(D14=[2]Lists!$K$5,"&lt; Reference section in EITI Report &gt;",IF(D14=[2]Lists!$K$6,"&lt; Reference evidence of non-applicability &gt;","")))</f>
        <v/>
      </c>
      <c r="G14" s="40"/>
      <c r="H14" s="448" t="s">
        <v>1200</v>
      </c>
      <c r="I14" s="40"/>
      <c r="J14" s="577"/>
      <c r="K14" s="40"/>
      <c r="L14" s="423" t="s">
        <v>1093</v>
      </c>
      <c r="M14" s="40"/>
      <c r="N14" s="39"/>
      <c r="O14" s="40"/>
      <c r="P14" s="227"/>
      <c r="Q14" s="40"/>
      <c r="R14" s="39"/>
      <c r="S14" s="40"/>
    </row>
    <row r="15" spans="1:19" s="9" customFormat="1" ht="30" x14ac:dyDescent="0.35">
      <c r="A15" s="588"/>
      <c r="B15" s="59" t="s">
        <v>1094</v>
      </c>
      <c r="D15" s="347" t="s">
        <v>1095</v>
      </c>
      <c r="F15" s="10"/>
      <c r="G15" s="38"/>
      <c r="H15" s="448" t="s">
        <v>1201</v>
      </c>
      <c r="I15" s="38"/>
      <c r="J15" s="577"/>
      <c r="K15" s="38"/>
      <c r="L15" s="424"/>
      <c r="M15" s="38"/>
      <c r="N15" s="39"/>
      <c r="O15" s="38"/>
      <c r="P15" s="227"/>
      <c r="Q15" s="38"/>
      <c r="R15" s="39"/>
      <c r="S15" s="38"/>
    </row>
    <row r="16" spans="1:19" s="9" customFormat="1" ht="30" x14ac:dyDescent="0.35">
      <c r="A16" s="588"/>
      <c r="B16" s="59" t="s">
        <v>1096</v>
      </c>
      <c r="D16" s="451" t="s">
        <v>1206</v>
      </c>
      <c r="F16" s="10"/>
      <c r="G16" s="169"/>
      <c r="H16" s="448" t="s">
        <v>1201</v>
      </c>
      <c r="I16" s="169"/>
      <c r="J16" s="577"/>
      <c r="K16" s="169"/>
      <c r="L16" s="425" t="s">
        <v>1097</v>
      </c>
      <c r="M16" s="169"/>
      <c r="N16" s="39"/>
      <c r="O16" s="169"/>
      <c r="P16" s="227"/>
      <c r="Q16" s="169"/>
      <c r="R16" s="39"/>
      <c r="S16" s="169"/>
    </row>
    <row r="17" spans="1:19" s="9" customFormat="1" ht="110.4" x14ac:dyDescent="0.3">
      <c r="A17" s="589"/>
      <c r="B17" s="59" t="s">
        <v>1098</v>
      </c>
      <c r="D17" s="344" t="s">
        <v>58</v>
      </c>
      <c r="F17" s="447"/>
      <c r="G17" s="38"/>
      <c r="H17" s="10" t="s">
        <v>1203</v>
      </c>
      <c r="I17" s="38"/>
      <c r="J17" s="577"/>
      <c r="K17" s="38"/>
      <c r="L17" s="423" t="s">
        <v>1099</v>
      </c>
      <c r="M17" s="38"/>
      <c r="N17" s="39"/>
      <c r="O17" s="38"/>
      <c r="P17" s="227"/>
      <c r="Q17" s="38"/>
      <c r="R17" s="39"/>
      <c r="S17" s="38"/>
    </row>
    <row r="18" spans="1:19" s="9" customFormat="1" ht="69" x14ac:dyDescent="0.35">
      <c r="A18" s="217"/>
      <c r="B18" s="59" t="s">
        <v>1089</v>
      </c>
      <c r="D18" s="344" t="s">
        <v>58</v>
      </c>
      <c r="F18" s="10"/>
      <c r="G18" s="169"/>
      <c r="H18" s="10"/>
      <c r="I18" s="169"/>
      <c r="J18" s="578"/>
      <c r="K18" s="169"/>
      <c r="L18" s="399" t="s">
        <v>1100</v>
      </c>
      <c r="M18" s="169"/>
      <c r="N18" s="39"/>
      <c r="O18" s="169"/>
      <c r="P18" s="227"/>
      <c r="Q18" s="169"/>
      <c r="R18" s="39"/>
      <c r="S18" s="169"/>
    </row>
    <row r="19" spans="1:19" s="9" customFormat="1" ht="69.599999999999994" x14ac:dyDescent="0.35">
      <c r="A19" s="587" t="s">
        <v>1101</v>
      </c>
      <c r="B19" s="54" t="s">
        <v>1102</v>
      </c>
      <c r="D19" s="344" t="s">
        <v>73</v>
      </c>
      <c r="F19" s="10"/>
      <c r="G19" s="169"/>
      <c r="H19" s="10" t="s">
        <v>1078</v>
      </c>
      <c r="I19" s="169"/>
      <c r="J19" s="576"/>
      <c r="K19" s="169"/>
      <c r="L19" s="416" t="s">
        <v>1103</v>
      </c>
      <c r="M19" s="169"/>
      <c r="N19" s="39"/>
      <c r="O19" s="169"/>
      <c r="P19" s="227"/>
      <c r="Q19" s="169"/>
      <c r="R19" s="39"/>
      <c r="S19" s="169"/>
    </row>
    <row r="20" spans="1:19" s="9" customFormat="1" ht="49.5" customHeight="1" x14ac:dyDescent="0.35">
      <c r="A20" s="588"/>
      <c r="B20" s="59" t="s">
        <v>1104</v>
      </c>
      <c r="D20" s="398" t="s">
        <v>1207</v>
      </c>
      <c r="F20" s="10"/>
      <c r="G20" s="169"/>
      <c r="H20" s="10"/>
      <c r="I20" s="169"/>
      <c r="J20" s="577"/>
      <c r="K20" s="169"/>
      <c r="L20" s="421" t="s">
        <v>1105</v>
      </c>
      <c r="M20" s="169"/>
      <c r="N20" s="39"/>
      <c r="O20" s="169"/>
      <c r="P20" s="227"/>
      <c r="Q20" s="169"/>
      <c r="R20" s="39"/>
      <c r="S20" s="169"/>
    </row>
    <row r="21" spans="1:19" s="9" customFormat="1" ht="30" x14ac:dyDescent="0.35">
      <c r="A21" s="588"/>
      <c r="B21" s="59" t="s">
        <v>1106</v>
      </c>
      <c r="D21" s="344"/>
      <c r="F21" s="10"/>
      <c r="G21" s="169"/>
      <c r="H21" s="10"/>
      <c r="I21" s="169"/>
      <c r="J21" s="577"/>
      <c r="K21" s="169"/>
      <c r="L21" s="399"/>
      <c r="M21" s="169"/>
      <c r="N21" s="39"/>
      <c r="O21" s="169"/>
      <c r="P21" s="227"/>
      <c r="Q21" s="169"/>
      <c r="R21" s="39"/>
      <c r="S21" s="169"/>
    </row>
    <row r="22" spans="1:19" s="9" customFormat="1" ht="60" x14ac:dyDescent="0.35">
      <c r="A22" s="589"/>
      <c r="B22" s="59" t="s">
        <v>1107</v>
      </c>
      <c r="D22" s="344" t="s">
        <v>58</v>
      </c>
      <c r="F22" s="10"/>
      <c r="G22" s="169"/>
      <c r="H22" s="10"/>
      <c r="I22" s="169"/>
      <c r="J22" s="578"/>
      <c r="K22" s="169"/>
      <c r="L22" s="399" t="s">
        <v>1108</v>
      </c>
      <c r="M22" s="169"/>
      <c r="N22" s="39"/>
      <c r="O22" s="169"/>
      <c r="P22" s="227"/>
      <c r="Q22" s="169"/>
      <c r="R22" s="39"/>
      <c r="S22" s="169"/>
    </row>
    <row r="23" spans="1:19" s="168" customFormat="1" x14ac:dyDescent="0.35">
      <c r="A23" s="167"/>
      <c r="P23" s="249"/>
    </row>
  </sheetData>
  <mergeCells count="4">
    <mergeCell ref="A9:A17"/>
    <mergeCell ref="A19:A22"/>
    <mergeCell ref="J9:J18"/>
    <mergeCell ref="J19:J22"/>
  </mergeCells>
  <hyperlinks>
    <hyperlink ref="P9" r:id="rId1" display="http://www.pngeiti.org.pg/wp-content/uploads/2019/07/PNGEITI-Subnational-Payments-Report-May-2019.pdf  The classification of whats mandatory expenditure is in accordance with Sub-national payments report pages 82 to 83 and pages 65-66 lists expenditures that are considered as mandatory.  " xr:uid="{BA182B97-456F-42E6-8B8C-C9EF88D9766F}"/>
  </hyperlinks>
  <pageMargins left="0.7" right="0.7" top="0.75" bottom="0.75" header="0.3" footer="0.3"/>
  <pageSetup paperSize="8" orientation="landscape" horizontalDpi="1200" verticalDpi="1200" r:id="rId2"/>
</worksheet>
</file>

<file path=xl/worksheets/sheet28.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F3B51-84DD-2149-9E4A-CA6371B6EA9C}">
  <sheetPr codeName="Sheet28"/>
  <dimension ref="A1:S19"/>
  <sheetViews>
    <sheetView topLeftCell="K8" zoomScale="98" zoomScaleNormal="98" workbookViewId="0">
      <selection activeCell="P9" sqref="P9"/>
    </sheetView>
  </sheetViews>
  <sheetFormatPr defaultColWidth="10.5" defaultRowHeight="16.2" x14ac:dyDescent="0.35"/>
  <cols>
    <col min="1" max="1" width="15" style="166" customWidth="1"/>
    <col min="2" max="2" width="35" style="166" customWidth="1"/>
    <col min="3" max="3" width="3" style="166" customWidth="1"/>
    <col min="4" max="4" width="25" style="166" customWidth="1"/>
    <col min="5" max="5" width="3" style="166" customWidth="1"/>
    <col min="6" max="6" width="25" style="166" customWidth="1"/>
    <col min="7" max="7" width="3" style="166" customWidth="1"/>
    <col min="8" max="8" width="25"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1109</v>
      </c>
    </row>
    <row r="3" spans="1:19" s="40" customFormat="1" ht="105" x14ac:dyDescent="0.3">
      <c r="A3" s="206" t="s">
        <v>1110</v>
      </c>
      <c r="B3" s="57" t="s">
        <v>1111</v>
      </c>
      <c r="D3" s="10" t="s">
        <v>106</v>
      </c>
      <c r="F3" s="58"/>
      <c r="H3" s="58"/>
      <c r="J3" s="49"/>
      <c r="L3" s="39"/>
      <c r="N3" s="39"/>
      <c r="P3" s="39"/>
      <c r="R3" s="39"/>
    </row>
    <row r="4" spans="1:19" s="38" customFormat="1" ht="18.600000000000001" x14ac:dyDescent="0.3">
      <c r="A4" s="56"/>
      <c r="B4" s="47"/>
      <c r="D4" s="47"/>
      <c r="F4" s="47"/>
      <c r="H4" s="47"/>
      <c r="J4" s="48"/>
      <c r="L4" s="48"/>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56"/>
      <c r="B6" s="47"/>
      <c r="D6" s="47"/>
      <c r="F6" s="47"/>
      <c r="H6" s="47"/>
      <c r="J6" s="48"/>
      <c r="L6" s="48"/>
      <c r="N6" s="48"/>
      <c r="P6" s="48"/>
      <c r="R6" s="48"/>
    </row>
    <row r="7" spans="1:19" s="40" customFormat="1" ht="45" x14ac:dyDescent="0.3">
      <c r="A7" s="206" t="s">
        <v>164</v>
      </c>
      <c r="B7" s="57" t="s">
        <v>1112</v>
      </c>
      <c r="D7" s="10" t="s">
        <v>82</v>
      </c>
      <c r="F7" s="58"/>
      <c r="H7" s="58"/>
      <c r="J7" s="49"/>
    </row>
    <row r="8" spans="1:19" s="38" customFormat="1" ht="18.600000000000001" x14ac:dyDescent="0.3">
      <c r="A8" s="56"/>
      <c r="B8" s="47"/>
      <c r="D8" s="47"/>
      <c r="F8" s="47"/>
      <c r="H8" s="47"/>
      <c r="J8" s="48"/>
      <c r="L8" s="48"/>
      <c r="N8" s="48"/>
      <c r="P8" s="48"/>
      <c r="R8" s="48"/>
    </row>
    <row r="9" spans="1:19" s="9" customFormat="1" ht="256.5" customHeight="1" x14ac:dyDescent="0.3">
      <c r="A9" s="579" t="s">
        <v>1113</v>
      </c>
      <c r="B9" s="54" t="s">
        <v>1114</v>
      </c>
      <c r="D9" s="10" t="s">
        <v>438</v>
      </c>
      <c r="F9" s="10"/>
      <c r="G9" s="38"/>
      <c r="H9" s="10"/>
      <c r="I9" s="38"/>
      <c r="J9" s="530" t="s">
        <v>1115</v>
      </c>
      <c r="K9" s="38"/>
      <c r="L9" s="426" t="s">
        <v>1116</v>
      </c>
      <c r="M9" s="38"/>
      <c r="N9" s="400" t="s">
        <v>1117</v>
      </c>
      <c r="O9" s="38"/>
      <c r="P9" s="452" t="s">
        <v>1194</v>
      </c>
      <c r="Q9" s="38"/>
      <c r="R9" s="39"/>
      <c r="S9" s="38"/>
    </row>
    <row r="10" spans="1:19" s="9" customFormat="1" ht="45" x14ac:dyDescent="0.3">
      <c r="A10" s="580"/>
      <c r="B10" s="59" t="s">
        <v>1118</v>
      </c>
      <c r="D10" s="10" t="s">
        <v>438</v>
      </c>
      <c r="F10" s="10"/>
      <c r="G10" s="40"/>
      <c r="H10" s="10"/>
      <c r="I10" s="40"/>
      <c r="J10" s="531"/>
      <c r="K10" s="40"/>
      <c r="L10" s="39"/>
      <c r="M10" s="40"/>
      <c r="N10" s="39"/>
      <c r="O10" s="40"/>
      <c r="P10" s="39"/>
      <c r="Q10" s="40"/>
      <c r="R10" s="39"/>
      <c r="S10" s="40"/>
    </row>
    <row r="11" spans="1:19" s="9" customFormat="1" ht="75" x14ac:dyDescent="0.3">
      <c r="A11" s="580"/>
      <c r="B11" s="59" t="s">
        <v>1119</v>
      </c>
      <c r="D11" s="10" t="s">
        <v>438</v>
      </c>
      <c r="F11" s="10"/>
      <c r="G11" s="40"/>
      <c r="H11" s="10"/>
      <c r="I11" s="40"/>
      <c r="J11" s="531"/>
      <c r="K11" s="40"/>
      <c r="L11" s="39"/>
      <c r="M11" s="40"/>
      <c r="N11" s="39"/>
      <c r="O11" s="40"/>
      <c r="P11" s="39"/>
      <c r="Q11" s="40"/>
      <c r="R11" s="39"/>
      <c r="S11" s="40"/>
    </row>
    <row r="12" spans="1:19" s="9" customFormat="1" ht="45" x14ac:dyDescent="0.3">
      <c r="A12" s="580"/>
      <c r="B12" s="59" t="s">
        <v>1120</v>
      </c>
      <c r="D12" s="10" t="s">
        <v>438</v>
      </c>
      <c r="F12" s="10"/>
      <c r="G12" s="40"/>
      <c r="H12" s="10"/>
      <c r="I12" s="40"/>
      <c r="J12" s="531"/>
      <c r="K12" s="40"/>
      <c r="L12" s="39"/>
      <c r="M12" s="40"/>
      <c r="N12" s="39"/>
      <c r="O12" s="40"/>
      <c r="P12" s="39"/>
      <c r="Q12" s="40"/>
      <c r="R12" s="39"/>
      <c r="S12" s="40"/>
    </row>
    <row r="13" spans="1:19" s="9" customFormat="1" ht="69" customHeight="1" x14ac:dyDescent="0.3">
      <c r="A13" s="580"/>
      <c r="B13" s="59" t="s">
        <v>1121</v>
      </c>
      <c r="D13" s="10" t="s">
        <v>438</v>
      </c>
      <c r="F13" s="10"/>
      <c r="G13" s="40"/>
      <c r="H13" s="10"/>
      <c r="I13" s="40"/>
      <c r="J13" s="532"/>
      <c r="K13" s="40"/>
      <c r="L13" s="39"/>
      <c r="M13" s="40"/>
      <c r="N13" s="39"/>
      <c r="O13" s="40"/>
      <c r="P13" s="39"/>
      <c r="Q13" s="40"/>
      <c r="R13" s="39"/>
      <c r="S13" s="40"/>
    </row>
    <row r="14" spans="1:19" s="169" customFormat="1" x14ac:dyDescent="0.35">
      <c r="A14" s="172"/>
    </row>
    <row r="15" spans="1:19" s="9" customFormat="1" ht="30" x14ac:dyDescent="0.3">
      <c r="A15" s="579" t="s">
        <v>1122</v>
      </c>
      <c r="B15" s="54" t="s">
        <v>1114</v>
      </c>
      <c r="D15" s="10" t="s">
        <v>438</v>
      </c>
      <c r="F15" s="10"/>
      <c r="G15" s="38"/>
      <c r="H15" s="10" t="str">
        <f>IF(F15=[2]Lists!$K$4,"&lt; Input URL to data source &gt;",IF(F15=[2]Lists!$K$5,"&lt; Reference section in EITI Report or URL &gt;",IF(F15=[2]Lists!$K$6,"&lt; Reference evidence of non-applicability &gt;","")))</f>
        <v/>
      </c>
      <c r="I15" s="38"/>
      <c r="J15" s="530" t="s">
        <v>1123</v>
      </c>
      <c r="K15" s="38"/>
      <c r="L15" s="39"/>
      <c r="M15" s="38"/>
      <c r="N15" s="39"/>
      <c r="O15" s="38"/>
      <c r="P15" s="39"/>
      <c r="Q15" s="38"/>
      <c r="R15" s="39"/>
      <c r="S15" s="38"/>
    </row>
    <row r="16" spans="1:19" s="9" customFormat="1" ht="45" x14ac:dyDescent="0.3">
      <c r="A16" s="580"/>
      <c r="B16" s="59" t="s">
        <v>1118</v>
      </c>
      <c r="D16" s="10" t="s">
        <v>438</v>
      </c>
      <c r="F16" s="10"/>
      <c r="G16" s="40"/>
      <c r="H16" s="10"/>
      <c r="I16" s="40"/>
      <c r="J16" s="531"/>
      <c r="K16" s="40"/>
      <c r="L16" s="39"/>
      <c r="M16" s="40"/>
      <c r="N16" s="39"/>
      <c r="O16" s="40"/>
      <c r="P16" s="39"/>
      <c r="Q16" s="40"/>
      <c r="R16" s="39"/>
      <c r="S16" s="40"/>
    </row>
    <row r="17" spans="1:19" s="9" customFormat="1" ht="75" x14ac:dyDescent="0.3">
      <c r="A17" s="580"/>
      <c r="B17" s="59" t="s">
        <v>1119</v>
      </c>
      <c r="D17" s="10" t="s">
        <v>438</v>
      </c>
      <c r="F17" s="10"/>
      <c r="G17" s="40"/>
      <c r="H17" s="10"/>
      <c r="I17" s="40"/>
      <c r="J17" s="531"/>
      <c r="K17" s="40"/>
      <c r="L17" s="39"/>
      <c r="M17" s="40"/>
      <c r="N17" s="39"/>
      <c r="O17" s="40"/>
      <c r="P17" s="39"/>
      <c r="Q17" s="40"/>
      <c r="R17" s="39"/>
      <c r="S17" s="40"/>
    </row>
    <row r="18" spans="1:19" s="9" customFormat="1" ht="45" x14ac:dyDescent="0.3">
      <c r="A18" s="580"/>
      <c r="B18" s="59" t="s">
        <v>1120</v>
      </c>
      <c r="D18" s="10" t="s">
        <v>438</v>
      </c>
      <c r="F18" s="10"/>
      <c r="G18" s="40"/>
      <c r="H18" s="10"/>
      <c r="I18" s="40"/>
      <c r="J18" s="531"/>
      <c r="K18" s="40"/>
      <c r="L18" s="39"/>
      <c r="M18" s="40"/>
      <c r="N18" s="39"/>
      <c r="O18" s="40"/>
      <c r="P18" s="39"/>
      <c r="Q18" s="40"/>
      <c r="R18" s="39"/>
      <c r="S18" s="40"/>
    </row>
    <row r="19" spans="1:19" s="11" customFormat="1" ht="69" customHeight="1" x14ac:dyDescent="0.3">
      <c r="A19" s="590"/>
      <c r="B19" s="60" t="s">
        <v>1121</v>
      </c>
      <c r="D19" s="12" t="s">
        <v>438</v>
      </c>
      <c r="F19" s="12"/>
      <c r="G19" s="61"/>
      <c r="H19" s="12"/>
      <c r="I19" s="61"/>
      <c r="J19" s="532"/>
      <c r="K19" s="61"/>
      <c r="L19" s="41"/>
      <c r="M19" s="61"/>
      <c r="N19" s="41"/>
      <c r="O19" s="61"/>
      <c r="P19" s="41"/>
      <c r="Q19" s="61"/>
      <c r="R19" s="41"/>
      <c r="S19" s="61"/>
    </row>
  </sheetData>
  <mergeCells count="4">
    <mergeCell ref="A9:A13"/>
    <mergeCell ref="A15:A19"/>
    <mergeCell ref="J9:J13"/>
    <mergeCell ref="J15:J19"/>
  </mergeCells>
  <pageMargins left="0.7" right="0.7" top="0.75" bottom="0.75" header="0.3" footer="0.3"/>
  <pageSetup paperSize="8" orientation="landscape" horizontalDpi="1200" verticalDpi="1200" r:id="rId1"/>
</worksheet>
</file>

<file path=xl/worksheets/sheet29.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2ABCA-F753-6946-9B48-EB497CBE7327}">
  <sheetPr codeName="Sheet29"/>
  <dimension ref="A1:S28"/>
  <sheetViews>
    <sheetView topLeftCell="K26" zoomScaleNormal="100" workbookViewId="0">
      <selection activeCell="P8" sqref="P8"/>
    </sheetView>
  </sheetViews>
  <sheetFormatPr defaultColWidth="10.5" defaultRowHeight="16.2" x14ac:dyDescent="0.35"/>
  <cols>
    <col min="1" max="1" width="22" style="171" customWidth="1"/>
    <col min="2" max="2" width="33.5" style="166" customWidth="1"/>
    <col min="3" max="3" width="3.3984375" style="166" customWidth="1"/>
    <col min="4" max="4" width="25" style="166" customWidth="1"/>
    <col min="5" max="5" width="3.3984375" style="166" customWidth="1"/>
    <col min="6" max="6" width="28.59765625" style="166" customWidth="1"/>
    <col min="7" max="7" width="3.3984375" style="166" customWidth="1"/>
    <col min="8" max="8" width="35.09765625" style="166" customWidth="1"/>
    <col min="9" max="9" width="3.3984375"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166" customWidth="1"/>
    <col min="17" max="17" width="3" style="166" customWidth="1"/>
    <col min="18" max="18" width="39.5" style="166" customWidth="1"/>
    <col min="19" max="19" width="3" style="166" customWidth="1"/>
    <col min="20" max="16384" width="10.5" style="166"/>
  </cols>
  <sheetData>
    <row r="1" spans="1:19" ht="24.6" x14ac:dyDescent="0.4">
      <c r="A1" s="165" t="s">
        <v>1124</v>
      </c>
      <c r="J1" s="166">
        <f>14462.9+8866.2</f>
        <v>23329.1</v>
      </c>
    </row>
    <row r="3" spans="1:19" s="40" customFormat="1" ht="105" x14ac:dyDescent="0.3">
      <c r="A3" s="206" t="s">
        <v>1125</v>
      </c>
      <c r="B3" s="57" t="s">
        <v>1126</v>
      </c>
      <c r="D3" s="10" t="s">
        <v>106</v>
      </c>
      <c r="F3" s="58"/>
      <c r="H3" s="58"/>
      <c r="J3" s="49"/>
      <c r="L3" s="39"/>
      <c r="N3" s="39"/>
      <c r="P3" s="39"/>
      <c r="R3" s="39"/>
    </row>
    <row r="4" spans="1:19" s="38" customFormat="1" ht="18.600000000000001" x14ac:dyDescent="0.3">
      <c r="A4" s="66"/>
      <c r="B4" s="47"/>
      <c r="D4" s="47"/>
      <c r="F4" s="47"/>
      <c r="H4" s="47"/>
      <c r="J4" s="48"/>
      <c r="L4" s="48"/>
      <c r="N4" s="48"/>
      <c r="P4" s="48"/>
      <c r="R4" s="48"/>
    </row>
    <row r="5" spans="1:19" s="53" customFormat="1" ht="74.400000000000006" x14ac:dyDescent="0.3">
      <c r="A5" s="65"/>
      <c r="B5" s="52" t="s">
        <v>107</v>
      </c>
      <c r="D5" s="81" t="s">
        <v>108</v>
      </c>
      <c r="E5" s="45"/>
      <c r="F5" s="81" t="s">
        <v>109</v>
      </c>
      <c r="G5" s="45"/>
      <c r="H5" s="81" t="s">
        <v>110</v>
      </c>
      <c r="J5" s="46" t="s">
        <v>111</v>
      </c>
      <c r="K5" s="45"/>
      <c r="L5" s="46" t="s">
        <v>112</v>
      </c>
      <c r="M5" s="45"/>
      <c r="N5" s="46" t="s">
        <v>113</v>
      </c>
      <c r="O5" s="45"/>
      <c r="P5" s="46" t="s">
        <v>114</v>
      </c>
      <c r="Q5" s="45"/>
      <c r="R5" s="46" t="s">
        <v>115</v>
      </c>
      <c r="S5" s="45"/>
    </row>
    <row r="6" spans="1:19" s="38" customFormat="1" ht="18.600000000000001" x14ac:dyDescent="0.3">
      <c r="A6" s="66"/>
      <c r="B6" s="47"/>
      <c r="D6" s="47"/>
      <c r="F6" s="47"/>
      <c r="H6" s="47"/>
      <c r="J6" s="48"/>
      <c r="L6" s="48"/>
      <c r="N6" s="48"/>
      <c r="P6" s="48"/>
      <c r="R6" s="48"/>
    </row>
    <row r="7" spans="1:19" s="9" customFormat="1" ht="58.5" customHeight="1" x14ac:dyDescent="0.3">
      <c r="A7" s="67"/>
      <c r="B7" s="64" t="s">
        <v>1127</v>
      </c>
      <c r="D7" s="10" t="s">
        <v>1128</v>
      </c>
      <c r="F7" s="376" t="s">
        <v>1009</v>
      </c>
      <c r="G7" s="38"/>
      <c r="H7" s="84" t="s">
        <v>1172</v>
      </c>
      <c r="I7" s="38"/>
      <c r="J7" s="576"/>
      <c r="K7" s="38"/>
      <c r="L7" s="39"/>
      <c r="M7" s="38"/>
      <c r="N7" s="39"/>
      <c r="O7" s="38"/>
      <c r="P7" s="39"/>
      <c r="Q7" s="38"/>
      <c r="R7" s="39"/>
      <c r="S7" s="38"/>
    </row>
    <row r="8" spans="1:19" s="9" customFormat="1" ht="45" x14ac:dyDescent="0.3">
      <c r="A8" s="67"/>
      <c r="B8" s="54" t="s">
        <v>1129</v>
      </c>
      <c r="D8" s="382" t="s">
        <v>1178</v>
      </c>
      <c r="F8" s="375"/>
      <c r="G8" s="40"/>
      <c r="H8" s="10"/>
      <c r="I8" s="40"/>
      <c r="J8" s="577"/>
      <c r="K8" s="40"/>
      <c r="L8" s="39"/>
      <c r="M8" s="40"/>
      <c r="N8" s="39"/>
      <c r="O8" s="40"/>
      <c r="P8" s="39"/>
      <c r="Q8" s="40"/>
      <c r="R8" s="39"/>
      <c r="S8" s="40"/>
    </row>
    <row r="9" spans="1:19" s="9" customFormat="1" ht="30" x14ac:dyDescent="0.3">
      <c r="A9" s="67"/>
      <c r="B9" s="23" t="s">
        <v>1130</v>
      </c>
      <c r="D9" s="382" t="s">
        <v>1177</v>
      </c>
      <c r="F9" s="10"/>
      <c r="G9" s="38"/>
      <c r="H9" s="10"/>
      <c r="I9" s="38"/>
      <c r="J9" s="577"/>
      <c r="K9" s="38"/>
      <c r="L9" s="39"/>
      <c r="M9" s="38"/>
      <c r="N9" s="39"/>
      <c r="O9" s="38"/>
      <c r="P9" s="39"/>
      <c r="Q9" s="38"/>
      <c r="R9" s="39"/>
      <c r="S9" s="38"/>
    </row>
    <row r="10" spans="1:19" s="9" customFormat="1" ht="15" x14ac:dyDescent="0.3">
      <c r="A10" s="67"/>
      <c r="B10" s="62" t="s">
        <v>1131</v>
      </c>
      <c r="D10" s="382" t="s">
        <v>1176</v>
      </c>
      <c r="F10" s="10"/>
      <c r="G10" s="40"/>
      <c r="H10" s="10"/>
      <c r="I10" s="40"/>
      <c r="J10" s="577"/>
      <c r="K10" s="40"/>
      <c r="L10" s="39"/>
      <c r="M10" s="40"/>
      <c r="N10" s="39"/>
      <c r="O10" s="40"/>
      <c r="P10" s="39"/>
      <c r="Q10" s="40"/>
      <c r="R10" s="39"/>
      <c r="S10" s="40"/>
    </row>
    <row r="11" spans="1:19" s="9" customFormat="1" ht="18.600000000000001" x14ac:dyDescent="0.3">
      <c r="A11" s="67"/>
      <c r="B11" s="62" t="s">
        <v>1132</v>
      </c>
      <c r="D11" s="382" t="s">
        <v>1179</v>
      </c>
      <c r="F11" s="10"/>
      <c r="G11" s="38"/>
      <c r="H11" s="84" t="s">
        <v>1173</v>
      </c>
      <c r="I11" s="38"/>
      <c r="J11" s="577"/>
      <c r="K11" s="38"/>
      <c r="L11" s="39"/>
      <c r="M11" s="38"/>
      <c r="N11" s="39"/>
      <c r="O11" s="38"/>
      <c r="P11" s="39"/>
      <c r="Q11" s="38"/>
      <c r="R11" s="39"/>
      <c r="S11" s="38"/>
    </row>
    <row r="12" spans="1:19" s="9" customFormat="1" x14ac:dyDescent="0.35">
      <c r="A12" s="67"/>
      <c r="B12" s="62" t="s">
        <v>1133</v>
      </c>
      <c r="D12" s="382" t="s">
        <v>1180</v>
      </c>
      <c r="F12" s="10"/>
      <c r="G12" s="169"/>
      <c r="H12" s="84" t="s">
        <v>1174</v>
      </c>
      <c r="I12" s="169"/>
      <c r="J12" s="577"/>
      <c r="K12" s="169"/>
      <c r="L12" s="39"/>
      <c r="M12" s="169"/>
      <c r="N12" s="39"/>
      <c r="O12" s="169"/>
      <c r="P12" s="39"/>
      <c r="Q12" s="169"/>
      <c r="R12" s="39"/>
      <c r="S12" s="169"/>
    </row>
    <row r="13" spans="1:19" s="9" customFormat="1" x14ac:dyDescent="0.35">
      <c r="A13" s="67"/>
      <c r="B13" s="62" t="s">
        <v>1134</v>
      </c>
      <c r="D13" s="382" t="s">
        <v>1135</v>
      </c>
      <c r="F13" s="10"/>
      <c r="G13" s="169"/>
      <c r="H13" s="84" t="s">
        <v>1170</v>
      </c>
      <c r="I13" s="169"/>
      <c r="J13" s="577"/>
      <c r="K13" s="169"/>
      <c r="L13" s="39"/>
      <c r="M13" s="169"/>
      <c r="N13" s="39"/>
      <c r="O13" s="169"/>
      <c r="P13" s="39"/>
      <c r="Q13" s="169"/>
      <c r="R13" s="39"/>
      <c r="S13" s="169"/>
    </row>
    <row r="14" spans="1:19" s="9" customFormat="1" x14ac:dyDescent="0.35">
      <c r="A14" s="67"/>
      <c r="B14" s="62" t="s">
        <v>1136</v>
      </c>
      <c r="D14" s="382" t="s">
        <v>1181</v>
      </c>
      <c r="F14" s="10"/>
      <c r="G14" s="169"/>
      <c r="H14" s="84"/>
      <c r="I14" s="169"/>
      <c r="J14" s="577"/>
      <c r="K14" s="169"/>
      <c r="L14" s="39"/>
      <c r="M14" s="169"/>
      <c r="N14" s="39"/>
      <c r="O14" s="169"/>
      <c r="P14" s="39"/>
      <c r="Q14" s="169"/>
      <c r="R14" s="39"/>
      <c r="S14" s="169"/>
    </row>
    <row r="15" spans="1:19" s="9" customFormat="1" x14ac:dyDescent="0.35">
      <c r="A15" s="67"/>
      <c r="B15" s="62" t="s">
        <v>1137</v>
      </c>
      <c r="D15" s="377" t="s">
        <v>1138</v>
      </c>
      <c r="F15" s="10"/>
      <c r="G15" s="169"/>
      <c r="H15" s="84" t="s">
        <v>1171</v>
      </c>
      <c r="I15" s="169"/>
      <c r="J15" s="577"/>
      <c r="K15" s="169"/>
      <c r="L15" s="39"/>
      <c r="M15" s="169"/>
      <c r="N15" s="39"/>
      <c r="O15" s="169"/>
      <c r="P15" s="39"/>
      <c r="Q15" s="169"/>
      <c r="R15" s="39"/>
      <c r="S15" s="169"/>
    </row>
    <row r="16" spans="1:19" s="9" customFormat="1" x14ac:dyDescent="0.35">
      <c r="A16" s="67"/>
      <c r="B16" s="62" t="s">
        <v>1139</v>
      </c>
      <c r="D16" s="377" t="s">
        <v>1140</v>
      </c>
      <c r="F16" s="10"/>
      <c r="G16" s="169"/>
      <c r="H16" s="84" t="s">
        <v>1171</v>
      </c>
      <c r="I16" s="169"/>
      <c r="J16" s="577"/>
      <c r="K16" s="169"/>
      <c r="L16" s="39"/>
      <c r="M16" s="169"/>
      <c r="N16" s="39"/>
      <c r="O16" s="169"/>
      <c r="P16" s="39"/>
      <c r="Q16" s="169"/>
      <c r="R16" s="39"/>
      <c r="S16" s="169"/>
    </row>
    <row r="17" spans="1:19" s="9" customFormat="1" x14ac:dyDescent="0.35">
      <c r="A17" s="67"/>
      <c r="B17" s="62" t="s">
        <v>1141</v>
      </c>
      <c r="D17" s="377" t="s">
        <v>1142</v>
      </c>
      <c r="F17" s="10"/>
      <c r="G17" s="169"/>
      <c r="H17" s="84" t="s">
        <v>1175</v>
      </c>
      <c r="I17" s="169"/>
      <c r="J17" s="577"/>
      <c r="K17" s="169"/>
      <c r="L17" s="39"/>
      <c r="M17" s="169"/>
      <c r="N17" s="39"/>
      <c r="O17" s="169"/>
      <c r="P17" s="39"/>
      <c r="Q17" s="169"/>
      <c r="R17" s="39"/>
      <c r="S17" s="169"/>
    </row>
    <row r="18" spans="1:19" s="9" customFormat="1" x14ac:dyDescent="0.35">
      <c r="A18" s="67"/>
      <c r="B18" s="62" t="s">
        <v>1143</v>
      </c>
      <c r="D18" s="377" t="s">
        <v>1144</v>
      </c>
      <c r="F18" s="10"/>
      <c r="G18" s="169"/>
      <c r="H18" s="84" t="s">
        <v>1175</v>
      </c>
      <c r="I18" s="169"/>
      <c r="J18" s="577"/>
      <c r="K18" s="169"/>
      <c r="L18" s="39"/>
      <c r="M18" s="169"/>
      <c r="N18" s="39"/>
      <c r="O18" s="169"/>
      <c r="P18" s="39"/>
      <c r="Q18" s="169"/>
      <c r="R18" s="39"/>
      <c r="S18" s="169"/>
    </row>
    <row r="19" spans="1:19" s="9" customFormat="1" x14ac:dyDescent="0.35">
      <c r="A19" s="67"/>
      <c r="B19" s="62" t="s">
        <v>1145</v>
      </c>
      <c r="D19" s="382" t="s">
        <v>1146</v>
      </c>
      <c r="F19" s="10"/>
      <c r="G19" s="169"/>
      <c r="H19" s="10"/>
      <c r="I19" s="169"/>
      <c r="J19" s="577"/>
      <c r="K19" s="169"/>
      <c r="L19" s="39"/>
      <c r="M19" s="169"/>
      <c r="N19" s="39"/>
      <c r="O19" s="169"/>
      <c r="P19" s="39"/>
      <c r="Q19" s="169"/>
      <c r="R19" s="39"/>
      <c r="S19" s="169"/>
    </row>
    <row r="20" spans="1:19" s="9" customFormat="1" x14ac:dyDescent="0.35">
      <c r="A20" s="67"/>
      <c r="B20" s="62" t="s">
        <v>1147</v>
      </c>
      <c r="D20" s="382" t="s">
        <v>1146</v>
      </c>
      <c r="F20" s="10"/>
      <c r="G20" s="169"/>
      <c r="H20" s="10"/>
      <c r="I20" s="169"/>
      <c r="J20" s="577"/>
      <c r="K20" s="169"/>
      <c r="L20" s="39"/>
      <c r="M20" s="169"/>
      <c r="N20" s="39"/>
      <c r="O20" s="169"/>
      <c r="P20" s="39"/>
      <c r="Q20" s="169"/>
      <c r="R20" s="39"/>
      <c r="S20" s="169"/>
    </row>
    <row r="21" spans="1:19" s="9" customFormat="1" ht="45" x14ac:dyDescent="0.3">
      <c r="A21" s="67"/>
      <c r="B21" s="64" t="s">
        <v>1148</v>
      </c>
      <c r="D21" s="10" t="s">
        <v>73</v>
      </c>
      <c r="F21" s="10"/>
      <c r="G21" s="38"/>
      <c r="H21" s="84" t="s">
        <v>1149</v>
      </c>
      <c r="I21" s="38"/>
      <c r="J21" s="578"/>
      <c r="K21" s="38"/>
      <c r="L21" s="39"/>
      <c r="M21" s="38"/>
      <c r="N21" s="39"/>
      <c r="O21" s="38"/>
      <c r="P21" s="39"/>
      <c r="Q21" s="38"/>
      <c r="R21" s="39"/>
      <c r="S21" s="38"/>
    </row>
    <row r="22" spans="1:19" s="168" customFormat="1" x14ac:dyDescent="0.35">
      <c r="A22" s="170"/>
      <c r="J22" s="440"/>
    </row>
    <row r="28" spans="1:19" x14ac:dyDescent="0.35">
      <c r="J28"/>
    </row>
  </sheetData>
  <mergeCells count="1">
    <mergeCell ref="J7:J21"/>
  </mergeCells>
  <hyperlinks>
    <hyperlink ref="B8" r:id="rId1" xr:uid="{D65D155B-A957-0B4E-91E0-0CCEDDA83E18}"/>
    <hyperlink ref="F7" r:id="rId2" display="http://www.treasury.gov.pg/html/national_budget/files/2021/2021 Budget Volume 1.pdf" xr:uid="{73567AD1-59A4-4DAC-B777-329A2281CA24}"/>
  </hyperlinks>
  <pageMargins left="0.7" right="0.7" top="0.75" bottom="0.75" header="0.3" footer="0.3"/>
  <pageSetup paperSize="8" orientation="landscape" horizontalDpi="1200" verticalDpi="1200" r:id="rId3"/>
</worksheet>
</file>

<file path=xl/worksheets/sheet30.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F1490-486C-914B-9030-0926582A846F}">
  <sheetPr codeName="Sheet30"/>
  <dimension ref="A1:S13"/>
  <sheetViews>
    <sheetView topLeftCell="K1" zoomScale="106" zoomScaleNormal="106" workbookViewId="0">
      <selection activeCell="N14" sqref="N14"/>
    </sheetView>
  </sheetViews>
  <sheetFormatPr defaultColWidth="10.5" defaultRowHeight="16.2" x14ac:dyDescent="0.35"/>
  <cols>
    <col min="1" max="1" width="14.3984375" style="166" customWidth="1"/>
    <col min="2" max="2" width="42.3984375" style="166" customWidth="1"/>
    <col min="3" max="3" width="3" style="166" customWidth="1"/>
    <col min="4" max="4" width="24" style="166" customWidth="1"/>
    <col min="5" max="5" width="3" style="166" customWidth="1"/>
    <col min="6" max="6" width="22.5" style="166" customWidth="1"/>
    <col min="7" max="7" width="3" style="166" customWidth="1"/>
    <col min="8" max="8" width="22.3984375" style="166" customWidth="1"/>
    <col min="9" max="9" width="3" style="166" customWidth="1"/>
    <col min="10" max="10" width="39.5" style="166" customWidth="1"/>
    <col min="11" max="11" width="3" style="166" customWidth="1"/>
    <col min="12" max="12" width="39.5" style="166" customWidth="1"/>
    <col min="13" max="13" width="3" style="166" customWidth="1"/>
    <col min="14" max="14" width="39.5" style="166" customWidth="1"/>
    <col min="15" max="15" width="3" style="166" customWidth="1"/>
    <col min="16" max="16" width="39.5" style="220" customWidth="1"/>
    <col min="17" max="17" width="3" style="166" customWidth="1"/>
    <col min="18" max="18" width="39.5" style="166" customWidth="1"/>
    <col min="19" max="19" width="3" style="166" customWidth="1"/>
    <col min="20" max="16384" width="10.5" style="166"/>
  </cols>
  <sheetData>
    <row r="1" spans="1:19" ht="24.6" x14ac:dyDescent="0.4">
      <c r="A1" s="165" t="s">
        <v>1150</v>
      </c>
    </row>
    <row r="3" spans="1:19" s="40" customFormat="1" ht="120" x14ac:dyDescent="0.3">
      <c r="A3" s="206" t="s">
        <v>1151</v>
      </c>
      <c r="B3" s="57" t="s">
        <v>1152</v>
      </c>
      <c r="D3" s="10" t="s">
        <v>106</v>
      </c>
      <c r="F3" s="58"/>
      <c r="H3" s="58"/>
      <c r="J3" s="49"/>
      <c r="L3" s="39"/>
      <c r="N3" s="39"/>
      <c r="P3" s="227"/>
      <c r="R3" s="39"/>
    </row>
    <row r="4" spans="1:19" s="38" customFormat="1" ht="18.600000000000001" x14ac:dyDescent="0.3">
      <c r="A4" s="56"/>
      <c r="B4" s="47"/>
      <c r="D4" s="47"/>
      <c r="F4" s="47"/>
      <c r="H4" s="47"/>
      <c r="J4" s="48"/>
      <c r="L4" s="48"/>
      <c r="P4" s="238"/>
    </row>
    <row r="5" spans="1:19" s="53" customFormat="1" ht="74.400000000000006" x14ac:dyDescent="0.3">
      <c r="A5" s="51"/>
      <c r="B5" s="52" t="s">
        <v>107</v>
      </c>
      <c r="D5" s="81" t="s">
        <v>108</v>
      </c>
      <c r="E5" s="45"/>
      <c r="F5" s="81" t="s">
        <v>109</v>
      </c>
      <c r="G5" s="45"/>
      <c r="H5" s="81" t="s">
        <v>110</v>
      </c>
      <c r="J5" s="46" t="s">
        <v>111</v>
      </c>
      <c r="K5" s="45"/>
      <c r="L5" s="46" t="s">
        <v>112</v>
      </c>
      <c r="M5" s="45"/>
      <c r="N5" s="46" t="s">
        <v>113</v>
      </c>
      <c r="O5" s="45"/>
      <c r="P5" s="235" t="s">
        <v>114</v>
      </c>
      <c r="Q5" s="45"/>
      <c r="R5" s="46" t="s">
        <v>115</v>
      </c>
      <c r="S5" s="45"/>
    </row>
    <row r="6" spans="1:19" s="38" customFormat="1" ht="18.600000000000001" x14ac:dyDescent="0.3">
      <c r="A6" s="56"/>
      <c r="B6" s="47"/>
      <c r="D6" s="47"/>
      <c r="F6" s="47"/>
      <c r="H6" s="47"/>
      <c r="J6" s="48"/>
      <c r="L6" s="48"/>
      <c r="N6" s="48"/>
      <c r="P6" s="239"/>
      <c r="R6" s="48"/>
    </row>
    <row r="7" spans="1:19" s="40" customFormat="1" ht="45" x14ac:dyDescent="0.3">
      <c r="A7" s="206" t="s">
        <v>164</v>
      </c>
      <c r="B7" s="57" t="s">
        <v>1153</v>
      </c>
      <c r="D7" s="10" t="s">
        <v>326</v>
      </c>
      <c r="F7" s="58"/>
      <c r="H7" s="58"/>
      <c r="J7" s="49"/>
      <c r="L7" s="39"/>
      <c r="M7" s="38"/>
      <c r="N7" s="39"/>
      <c r="O7" s="38"/>
      <c r="P7" s="227"/>
      <c r="Q7" s="38"/>
      <c r="R7" s="39"/>
    </row>
    <row r="8" spans="1:19" s="38" customFormat="1" ht="18.600000000000001" x14ac:dyDescent="0.3">
      <c r="A8" s="56"/>
      <c r="B8" s="47"/>
      <c r="D8" s="47"/>
      <c r="F8" s="47"/>
      <c r="H8" s="47"/>
      <c r="J8" s="48"/>
      <c r="L8" s="48"/>
      <c r="N8" s="48"/>
      <c r="P8" s="239"/>
      <c r="R8" s="48"/>
    </row>
    <row r="9" spans="1:19" s="9" customFormat="1" ht="18.600000000000001" x14ac:dyDescent="0.3">
      <c r="A9" s="14"/>
      <c r="B9" s="62" t="s">
        <v>117</v>
      </c>
      <c r="D9" s="28"/>
      <c r="F9" s="28"/>
      <c r="G9" s="38"/>
      <c r="H9" s="28"/>
      <c r="I9" s="38"/>
      <c r="K9" s="38"/>
      <c r="M9" s="38"/>
      <c r="O9" s="38"/>
      <c r="P9" s="229"/>
      <c r="Q9" s="38"/>
      <c r="S9" s="38"/>
    </row>
    <row r="10" spans="1:19" s="9" customFormat="1" ht="248.4" x14ac:dyDescent="0.3">
      <c r="A10" s="14"/>
      <c r="B10" s="25" t="s">
        <v>1154</v>
      </c>
      <c r="D10" s="10" t="s">
        <v>309</v>
      </c>
      <c r="F10" s="375" t="s">
        <v>1155</v>
      </c>
      <c r="G10" s="40"/>
      <c r="H10" s="10" t="str">
        <f>IF(F10=[2]Lists!$K$4,"&lt; Input URL to data source &gt;",IF(F10=[2]Lists!$K$5,"&lt; Reference section in EITI Report or URL &gt;",IF(F10=[2]Lists!$K$6,"&lt; Reference evidence of non-applicability &gt;","")))</f>
        <v/>
      </c>
      <c r="I10" s="40"/>
      <c r="J10" s="576"/>
      <c r="K10" s="40"/>
      <c r="L10" s="400" t="s">
        <v>1156</v>
      </c>
      <c r="M10" s="40"/>
      <c r="N10" s="39"/>
      <c r="O10" s="40"/>
      <c r="P10" s="227"/>
      <c r="Q10" s="40"/>
      <c r="R10" s="39"/>
      <c r="S10" s="40"/>
    </row>
    <row r="11" spans="1:19" s="9" customFormat="1" ht="60" x14ac:dyDescent="0.3">
      <c r="A11" s="14"/>
      <c r="B11" s="25" t="s">
        <v>1157</v>
      </c>
      <c r="D11" s="10" t="s">
        <v>297</v>
      </c>
      <c r="F11" s="10" t="str">
        <f>IF(D11=[2]Lists!$K$4,"&lt; Input URL to data source &gt;",IF(D11=[2]Lists!$K$5,"&lt; Reference section in EITI Report or URL &gt;",IF(D11=[2]Lists!$K$6,"&lt; Reference evidence of non-applicability &gt;","")))</f>
        <v/>
      </c>
      <c r="G11" s="38"/>
      <c r="H11" s="10" t="str">
        <f>IF(F11=[2]Lists!$K$4,"&lt; Input URL to data source &gt;",IF(F11=[2]Lists!$K$5,"&lt; Reference section in EITI Report or URL &gt;",IF(F11=[2]Lists!$K$6,"&lt; Reference evidence of non-applicability &gt;","")))</f>
        <v/>
      </c>
      <c r="I11" s="38"/>
      <c r="J11" s="577"/>
      <c r="K11" s="38"/>
      <c r="L11" s="227" t="s">
        <v>259</v>
      </c>
      <c r="M11" s="38"/>
      <c r="N11" s="39"/>
      <c r="O11" s="38"/>
      <c r="P11" s="227"/>
      <c r="Q11" s="38"/>
      <c r="R11" s="39"/>
      <c r="S11" s="38"/>
    </row>
    <row r="12" spans="1:19" s="9" customFormat="1" ht="89.4" customHeight="1" x14ac:dyDescent="0.3">
      <c r="A12" s="14"/>
      <c r="B12" s="25" t="s">
        <v>1158</v>
      </c>
      <c r="D12" s="10" t="s">
        <v>309</v>
      </c>
      <c r="F12" s="375" t="s">
        <v>1155</v>
      </c>
      <c r="G12" s="40"/>
      <c r="H12" s="10" t="str">
        <f>IF(F12=[2]Lists!$K$4,"&lt; Input URL to data source &gt;",IF(F12=[2]Lists!$K$5,"&lt; Reference section in EITI Report or URL &gt;",IF(F12=[2]Lists!$K$6,"&lt; Reference evidence of non-applicability &gt;","")))</f>
        <v/>
      </c>
      <c r="I12" s="40"/>
      <c r="J12" s="578"/>
      <c r="K12" s="40"/>
      <c r="L12" s="416" t="s">
        <v>1159</v>
      </c>
      <c r="M12" s="40"/>
      <c r="N12" s="400" t="s">
        <v>1160</v>
      </c>
      <c r="O12" s="40"/>
      <c r="P12" s="399" t="s">
        <v>1188</v>
      </c>
      <c r="Q12" s="40"/>
      <c r="R12" s="39"/>
      <c r="S12" s="40"/>
    </row>
    <row r="13" spans="1:19" s="168" customFormat="1" x14ac:dyDescent="0.35">
      <c r="A13" s="167"/>
      <c r="P13" s="249"/>
    </row>
  </sheetData>
  <mergeCells count="1">
    <mergeCell ref="J10:J12"/>
  </mergeCells>
  <hyperlinks>
    <hyperlink ref="F10" r:id="rId1" xr:uid="{CF253226-A6E7-42F2-8A05-B848EA8E859D}"/>
    <hyperlink ref="F12" r:id="rId2" xr:uid="{ED8C830C-AA7C-4695-BFB6-B1D0C734AC5C}"/>
  </hyperlinks>
  <pageMargins left="0.7" right="0.7" top="0.75" bottom="0.75" header="0.3" footer="0.3"/>
  <pageSetup paperSize="8" orientation="landscape" horizontalDpi="1200" verticalDpi="1200" r:id="rId3"/>
</worksheet>
</file>

<file path=customXml/_rels/item1.xml.rels><?xml version="1.0" encoding="UTF-8" standalone="yes"?>
<Relationships xmlns="http://schemas.openxmlformats.org/package/2006/relationships"><Relationship Id="rId1" Type="http://purl.oclc.org/ooxml/officeDocument/relationships/customXmlProps" Target="itemProps1.xml"/></Relationships>
</file>

<file path=customXml/_rels/item2.xml.rels><?xml version="1.0" encoding="UTF-8" standalone="yes"?>
<Relationships xmlns="http://schemas.openxmlformats.org/package/2006/relationships"><Relationship Id="rId1" Type="http://purl.oclc.org/ooxml/officeDocument/relationships/customXmlProps" Target="itemProps2.xml"/></Relationships>
</file>

<file path=customXml/_rels/item3.xml.rels><?xml version="1.0" encoding="UTF-8" standalone="yes"?>
<Relationships xmlns="http://schemas.openxmlformats.org/package/2006/relationships"><Relationship Id="rId1" Type="http://purl.oclc.org/ooxml/officeDocument/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33C13D94A07554DBF83E4A08DAB1CE9" ma:contentTypeVersion="6" ma:contentTypeDescription="Create a new document." ma:contentTypeScope="" ma:versionID="0484f247b80ce510084862aad59aadc2">
  <xsd:schema xmlns:xsd="http://www.w3.org/2001/XMLSchema" xmlns:xs="http://www.w3.org/2001/XMLSchema" xmlns:p="http://schemas.microsoft.com/office/2006/metadata/properties" xmlns:ns2="b06cb318-9a1e-49ed-9343-9cf76b318de3" xmlns:ns3="a35e6ff3-c63b-415a-bef4-c0aad7e6ea9e" targetNamespace="http://schemas.microsoft.com/office/2006/metadata/properties" ma:root="true" ma:fieldsID="cfd68d4fab666ecea956dc15dd635f3c" ns2:_="" ns3:_="">
    <xsd:import namespace="b06cb318-9a1e-49ed-9343-9cf76b318de3"/>
    <xsd:import namespace="a35e6ff3-c63b-415a-bef4-c0aad7e6ea9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6cb318-9a1e-49ed-9343-9cf76b318d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35e6ff3-c63b-415a-bef4-c0aad7e6ea9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purl.oclc.org/ooxml/officeDocument/customXml" ds:itemID="{8519F17E-4F5A-450D-B771-D83C95A89723}">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35e6ff3-c63b-415a-bef4-c0aad7e6ea9e"/>
    <ds:schemaRef ds:uri="http://purl.org/dc/elements/1.1/"/>
    <ds:schemaRef ds:uri="http://schemas.microsoft.com/office/2006/metadata/properties"/>
    <ds:schemaRef ds:uri="b06cb318-9a1e-49ed-9343-9cf76b318de3"/>
    <ds:schemaRef ds:uri="http://www.w3.org/XML/1998/namespace"/>
    <ds:schemaRef ds:uri="http://purl.org/dc/dcmitype/"/>
  </ds:schemaRefs>
</ds:datastoreItem>
</file>

<file path=customXml/itemProps2.xml><?xml version="1.0" encoding="utf-8"?>
<ds:datastoreItem xmlns:ds="http://purl.oclc.org/ooxml/officeDocument/customXml" ds:itemID="{E8644339-DD69-4A25-BF3B-BFE39E827D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6cb318-9a1e-49ed-9343-9cf76b318de3"/>
    <ds:schemaRef ds:uri="a35e6ff3-c63b-415a-bef4-c0aad7e6ea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purl.oclc.org/ooxml/officeDocument/customXml" ds:itemID="{7C0BC6C0-7B6D-4886-820A-3A51F212CFFB}">
  <ds:schemaRefs>
    <ds:schemaRef ds:uri="http://schemas.microsoft.com/sharepoint/v3/contenttype/forms"/>
  </ds:schemaRefs>
</ds:datastoreItem>
</file>

<file path=docProps/CustomMKOP.xml><?xml version="1.0" encoding="utf-8"?>
<Properties xmlns="http://schemas.openxmlformats.org/officeDocument/2006/custom-properties" xmlns:vt="http://schemas.openxmlformats.org/officeDocument/2006/docPropsVTypes">
  <property fmtid="{D5CDD505-2E9C-101B-9397-08002B2CF9AE}" pid="2" name="MKProdID">
    <vt:lpwstr>ZMOutlook</vt:lpwstr>
  </property>
  <property fmtid="{D5CDD505-2E9C-101B-9397-08002B2CF9AE}" pid="3" name="SizeBefore">
    <vt:lpwstr>298670</vt:lpwstr>
  </property>
  <property fmtid="{D5CDD505-2E9C-101B-9397-08002B2CF9AE}" pid="4" name="OptimizationTime">
    <vt:lpwstr>20220331_1552</vt:lpwstr>
  </property>
</Properties>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10</vt:i4>
      </vt:variant>
    </vt:vector>
  </HeadingPairs>
  <TitlesOfParts>
    <vt:vector size="40" baseType="lpstr">
      <vt:lpstr>Introduction</vt:lpstr>
      <vt:lpstr>About</vt:lpstr>
      <vt:lpstr>#2.1</vt:lpstr>
      <vt:lpstr>#2.2</vt:lpstr>
      <vt:lpstr>#2.3</vt:lpstr>
      <vt:lpstr>#2.4</vt:lpstr>
      <vt:lpstr>#2.5</vt:lpstr>
      <vt:lpstr>#2.6</vt:lpstr>
      <vt:lpstr>#3.1</vt:lpstr>
      <vt:lpstr>#3.2</vt:lpstr>
      <vt:lpstr>#3.3</vt:lpstr>
      <vt:lpstr>#4.1</vt:lpstr>
      <vt:lpstr>#4.1 - Reporting entities</vt:lpstr>
      <vt:lpstr>#4.1 - Government</vt:lpstr>
      <vt:lpstr>#4.1 - Company</vt:lpstr>
      <vt:lpstr>#4.2</vt:lpstr>
      <vt:lpstr>#4.3</vt:lpstr>
      <vt:lpstr>#4.4</vt:lpstr>
      <vt:lpstr>#4.5</vt:lpstr>
      <vt:lpstr>#4.6</vt:lpstr>
      <vt:lpstr>#4.7</vt:lpstr>
      <vt:lpstr>#4.8</vt:lpstr>
      <vt:lpstr>#4.9</vt:lpstr>
      <vt:lpstr>#5.1</vt:lpstr>
      <vt:lpstr>#5.2</vt:lpstr>
      <vt:lpstr>#5.3</vt:lpstr>
      <vt:lpstr>#6.1</vt:lpstr>
      <vt:lpstr>#6.2</vt:lpstr>
      <vt:lpstr>#6.3</vt:lpstr>
      <vt:lpstr>#6.4</vt:lpstr>
      <vt:lpstr>Companies_list</vt:lpstr>
      <vt:lpstr>dddd</vt:lpstr>
      <vt:lpstr>gogosx</vt:lpstr>
      <vt:lpstr>Government_entities_list</vt:lpstr>
      <vt:lpstr>over</vt:lpstr>
      <vt:lpstr>'#2.4'!Print_Area</vt:lpstr>
      <vt:lpstr>Projectname</vt:lpstr>
      <vt:lpstr>Revenue_stream_list</vt:lpstr>
      <vt:lpstr>Total_reconciled</vt:lpstr>
      <vt:lpstr>Total_revenues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EITI International Secretariat</dc:creator>
  <cp:keywords/>
  <dc:description/>
  <cp:lastModifiedBy>Leonard Catalon</cp:lastModifiedBy>
  <cp:revision/>
  <dcterms:created xsi:type="dcterms:W3CDTF">2020-07-14T03:16:31Z</dcterms:created>
  <dcterms:modified xsi:type="dcterms:W3CDTF">2022-03-31T05:52:01Z</dcterms:modified>
  <cp:category/>
  <cp:contentStatus/>
</cp:coreProperties>
</file>

<file path=docProps/custom.xml><?xml version="1.0" encoding="utf-8"?>
<Properties xmlns="http://purl.oclc.org/ooxml/officeDocument/customProperties" xmlns:vt="http://purl.oclc.org/ooxml/officeDocument/docPropsVTypes">
  <property fmtid="{D5CDD505-2E9C-101B-9397-08002B2CF9AE}" pid="2" name="ContentTypeId">
    <vt:lpwstr>0x010100833C13D94A07554DBF83E4A08DAB1CE9</vt:lpwstr>
  </property>
  <property fmtid="{D5CDD505-2E9C-101B-9397-08002B2CF9AE}" pid="3" name="Order">
    <vt:r8>281300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